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588" activeTab="0"/>
  </bookViews>
  <sheets>
    <sheet name="dod-6" sheetId="1" r:id="rId1"/>
  </sheets>
  <definedNames>
    <definedName name="_ftn1" localSheetId="0">'dod-6'!#REF!</definedName>
    <definedName name="_ftn2" localSheetId="0">'dod-6'!#REF!</definedName>
    <definedName name="_ftnref1" localSheetId="0">'dod-6'!#REF!</definedName>
    <definedName name="_ftnref2" localSheetId="0">'dod-6'!#REF!</definedName>
    <definedName name="_xlnm.Print_Titles" localSheetId="0">'dod-6'!$9:$9</definedName>
    <definedName name="_xlnm.Print_Area" localSheetId="0">'dod-6'!$A$1:$I$1024</definedName>
  </definedNames>
  <calcPr fullCalcOnLoad="1"/>
</workbook>
</file>

<file path=xl/sharedStrings.xml><?xml version="1.0" encoding="utf-8"?>
<sst xmlns="http://schemas.openxmlformats.org/spreadsheetml/2006/main" count="1456" uniqueCount="1097">
  <si>
    <t>Придбання службового автомобіля для Студенянської  амбулаторії загальної практики сімейної медицини по вул. Соборна, 11А, с. Студена, Студенянської ОТГ, Піщанського  району, Вінницької області</t>
  </si>
  <si>
    <t>Реалізація державної політики у молодіжній сфері</t>
  </si>
  <si>
    <t>0813131</t>
  </si>
  <si>
    <t>1040 /091103</t>
  </si>
  <si>
    <t>Реконструкція системи водопостачання та територіїї Вінницької обласної клінічної лікарні ім.М.І.Пирогова в м.Вінниці по вул.Пирогова, 46;</t>
  </si>
  <si>
    <t>Реконструкція ванного відділення лікувального корпусу відновного лікування дітей в м.Липовець;</t>
  </si>
  <si>
    <t>Реконструкція опалювальної системи з заміною котлів на складах бази спеціального медичного призначення в с.Рахни Лісові Шаргородського району;</t>
  </si>
  <si>
    <t>Реконструкція диспансерно-поліклінічного відділення Вінницького обласного онкологічного диспансеру по вул.Хмельницьке шосе, 84 в м.Вінниці;</t>
  </si>
  <si>
    <t>Капітальний ремонт системи опалення ОКУ "Вінницький обласний центр реінтеграції бездомних громадян" по вул.Гагаріна, 206-б в смт. Вороновиця, Вінницького району;</t>
  </si>
  <si>
    <t>Подільському регіональному центру онкології на проведення капітального ремонту відділення для розміщення комп'ютерного томографа</t>
  </si>
  <si>
    <t xml:space="preserve">Вінницькому обласному спеціалізованому клінічному диспансеру радіаційного захисту населення для придбання Автогематологічного аналізатора </t>
  </si>
  <si>
    <t xml:space="preserve">Вінницькому обласному спеціалізованому клінічному диспансеру радіаційного захисту населення для придбання кардіодіагностичного комплексу Кардіовіт </t>
  </si>
  <si>
    <t xml:space="preserve">Вінницькому обласному спеціалізованому клінічному диспансеру радіаційного захисту населення для придбання Апарату низькочастотної електротерапії </t>
  </si>
  <si>
    <t>Вінницькому обласному спеціалізованому клінічному диспансеру радіаційного захисту населення для придбання Апарату ультразвукової терапії</t>
  </si>
  <si>
    <t>Виготовлення проектно-кошторисної документації на капітальний ремонт огорожі Ладижинського дитячого будинку-інтернату в с. Заозерне по вул. Степова 1-а Тульчинського району, Вінницької області</t>
  </si>
  <si>
    <t>на завершення аварійно-відновлювальних робіт та інших заходів, пов'язаних з ліквідацією наслідків надзвичайної ситуації, яка склалась 26 вересня 2017 року у м.Калинівка Вінницької області</t>
  </si>
  <si>
    <t>Заходи з енергозбереження</t>
  </si>
  <si>
    <t>0490 /180409</t>
  </si>
  <si>
    <t>Муровано-Куриловецькій санаторній школі-інтернат на  будівництво тротуарної доріжки</t>
  </si>
  <si>
    <t xml:space="preserve">Муровано-Куриловецькій санаторній школі-інтернат на утеплення медичного корпусу </t>
  </si>
  <si>
    <t>Муровано-Куриловецькій санаторній школі-інтернат на реконструкцію системи опалення  спортивної зали</t>
  </si>
  <si>
    <t>Муровано-Куриловецькій санаторній школі-інтернат на  придбання електром’ясорубки та інтерактивної дошки</t>
  </si>
  <si>
    <t>Проведення комплексної експертизи проектно-кошторисної документації по проекту "Нове будівництво середньої школи по вулиці Центральна с. Гопчиця Погребищенського району Вінницької області (коригування ПКД з переплануванням частини будівлі пі дошкільний навчальний заклад)"</t>
  </si>
  <si>
    <t xml:space="preserve">Надання загальної середньої освіти загальноосвітніми школами-інтернатами, загальноосвітніми санаторними школами-інтернатами </t>
  </si>
  <si>
    <t>0611050</t>
  </si>
  <si>
    <t>0922   /070302</t>
  </si>
  <si>
    <t>Департамент соціальної та молодіжної політики ОДА</t>
  </si>
  <si>
    <t>0810000</t>
  </si>
  <si>
    <t>0813000</t>
  </si>
  <si>
    <t>0813100</t>
  </si>
  <si>
    <t>3100</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</si>
  <si>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</si>
  <si>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0813101</t>
  </si>
  <si>
    <t>1010 /090601</t>
  </si>
  <si>
    <t>КЗ «Вінницька обласна психоневрологічна лікарня ім. О.І.Ющенка» на комп’ютерний енцефалограф 16-канальний портативний (ВФД)</t>
  </si>
  <si>
    <t>КЗ «Вінницька обласна психоневрологічна лікарня ім. О.І.Ющенка» на проект та встановлення пожежної сигналізації ;</t>
  </si>
  <si>
    <t>Проектування, реставрація та охорона пам'яток архітектури</t>
  </si>
  <si>
    <t>Розроблення схем планування та забудови територій (містобудівної документації)</t>
  </si>
  <si>
    <t>Михайлівська загальноосвітня школа І-ІІІ ступеня у Гайсинському районі - завершення будівництва нового корпусу з утепленням покрівлі</t>
  </si>
  <si>
    <t>Реставрація з реконструкцією (пристосування у стан придатний для сучасного використання) Вінницького обласного українського музично-драматичного театру ім.М. Садовського по вул. Театральній 13</t>
  </si>
  <si>
    <t xml:space="preserve"> Брацлавський НВК: дошкільний навчальний заклад ЗОШ-інтернат I-III ступенів-гімназія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</si>
  <si>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Подільському науково-технічному ліцею для обдарованої молоді на ремонт санвузлів</t>
  </si>
  <si>
    <t>Капітальний ремонт системи опалення адміністративної будівлі Жмеринської місцевої прокуратури, за адресою: смт.Шаргород, вул.Героїв Майдану, буд.180;
  капітальний ремонт:                                                                                                                                                                                             - огорожі та вхідної групи адміністративної будівлі прокуратури області, за адресою: м.Вінниця, вул.Монастирська, 33;                                                                                                                                                  - гідроізоляції фундаментів будівлі, облаштування водовідведення та каналізації, за адресою: м.Вінниця, вул.Монастирська, 33; - системи опалення адміністративної будівлі, за адресою: м.Вінниця, вул.Монастирська, 33</t>
  </si>
  <si>
    <t>1217363</t>
  </si>
  <si>
    <t>Брацлавському психоневрологічному будинку – інтернату на придбання ПК та промислових електричних плит з жаровою шафою</t>
  </si>
  <si>
    <t>Ситковецька спеціальна ЗОШ-інтернат Немирів-го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</si>
  <si>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Школа, с.Гопчиця Погребищенського району-будівництво</t>
  </si>
  <si>
    <t>Реконструкція нежитлових приміщень універсальної концертної зали існуючої будівлі по вул. Театральна, 15 в м.Вінниця</t>
  </si>
  <si>
    <t>Піщанській спеціальній школі-інтернат для придбання слухових апаратів для вихованців (глухих дітей-сиріт)</t>
  </si>
  <si>
    <t xml:space="preserve">Немирівському професійному ліцею на заміну вікон в гуртожитку, навчальному корпусі та майстерні </t>
  </si>
  <si>
    <t>Субвенція з місцевого бюджету на реалізацію інвестиційних програм і проектів за рахунок коштів державного фонду регіонального розвитку</t>
  </si>
  <si>
    <t>На придбання силового модуля для частотного перетворювача насосних агрегатів ВНС ІІІ підйому «Вишенька» КП «Вінницяоблводоканал»</t>
  </si>
  <si>
    <t xml:space="preserve">Вінницькій обласній дитячій клінічній лікарні на реконструкція кисневого господарства </t>
  </si>
  <si>
    <t>Придбання комп’ютерної та мультимедійної техніки для комунального закладу «Подільський науково-технічний ліцей для обдарованої молоді при Вінницькому національному технічному університеті», вул. Воїнів-Інтернаціоналістів,9, м. Вінниця</t>
  </si>
  <si>
    <t xml:space="preserve">Придбання ультразвукової портативної станції для Вінницького обласного клінічного високоспеціалізованого ендокринологічного центру по вул.Мічуріна,32, м.Вінииця </t>
  </si>
  <si>
    <t>Придбання телевізорів для Калинівського технологічного технікуму, вул. Маяковського, 29, м. Калинівка</t>
  </si>
  <si>
    <t>Придбання телевізорів для Іванівської спеціальної загальноосвітньої школи-інтернату Калинівського району  Вінницької області</t>
  </si>
  <si>
    <t xml:space="preserve">Придбання телевізора для державного навчального закладу "Професійно- технічне училище №21 м. Калинівка  Калинівського району </t>
  </si>
  <si>
    <t>Придбання звукопідсилюючого комплексу для державного професійно-технічного навчального закладу "Козятинське міжрегіональне вище професійне училище залізничного транспорту", м. Козятин, вул. Катукова,44</t>
  </si>
  <si>
    <t>Придбання мультимедійного комплексу, проекторів, комп’ютерної техніки, меблів для Барського гуманітарно-педагогічного коледжу імені Михайла Грушевського.  Майдан Грушевського,1, м. Бар, Вінницька область</t>
  </si>
  <si>
    <t>"Монтаж пожежної сигналізації Вінницького обласного клінічного госпіталю для інвалідів Вітчизняної війни"</t>
  </si>
  <si>
    <t>Липовецькій обласній лікарні відновного лікування дітей з органічним ураженням центральної нервової системи, порушенням психіки і опорно-рухового апарату на реконструкцію приймального відділення будівлі адміністративного корпусу</t>
  </si>
  <si>
    <t xml:space="preserve">Підземна споруда пам'ятки архітектури національного значення - Келій, XVIII ст. (охор.№54/3) Комплексу Єзуїдського монастиря - пам'ятки архітектури національного значення (охор. №54) по вул. Соборна, 19 м. Вінниця - реставрація </t>
  </si>
  <si>
    <t xml:space="preserve">Памятка архітектури та містобудування місцевого значення (охор. №213-М) по вул.Грушевського, 2, м.Вінниця - реставрація </t>
  </si>
  <si>
    <t>Барському професійному  будівельному ліцею  на ремонт даху гуртожитку, заміну рулонної покрівлі на енергозберігаючу</t>
  </si>
  <si>
    <t xml:space="preserve">Кузьминецькому професійному аграрному ліцею Вінницької області на утеплення стін гуртожитку </t>
  </si>
  <si>
    <t>Професійно-технічному училищу №14 смт. Вороновиця на встановлення металопластикових вікон</t>
  </si>
  <si>
    <t>Професійно-технічному училищу №14 смт. Вороновиця на реконструкцію системи опалення закладу</t>
  </si>
  <si>
    <t xml:space="preserve">Вищому професійному училищу № 41 м. Тульчин – на утеплення фасаду навчального корпусу  </t>
  </si>
  <si>
    <t xml:space="preserve">Придбання копп'ютерної техніки КЗ "Вінницький регіональний центр з фізичної культури і спорту інвалідів "Інваспорт" </t>
  </si>
  <si>
    <t xml:space="preserve">Придбання комп’ютера для КУ «Інформаційно-аналітичний центр медичної статистики» Вінницької області </t>
  </si>
  <si>
    <t>Подільському регіональному центру онкології на придбання медичного обладнання для урологічного відділення</t>
  </si>
  <si>
    <t>Ремонт (реставраційний) частини фасаду пам’ятки архітектури місцевого значення (ох. №24) «Музично-драматичний театр ім. Садовського» по вул. Театральній, 13 в м. Вінниця</t>
  </si>
  <si>
    <t>Забезпечення діяльності централізованої бухгалтерії</t>
  </si>
  <si>
    <t>Департамент житлово-комунального господарства енергетики та інфраструктури ОДА</t>
  </si>
  <si>
    <t>Житлово-комунальне господарство</t>
  </si>
  <si>
    <t>0620 /100302</t>
  </si>
  <si>
    <t>Забезпечення функціонування підприємств, установ та організацій, що виробляють, виконують та/або надають житлово-комунальні послуги</t>
  </si>
  <si>
    <t>Регулювання цін/тарифів на житлово-комунальні послуги</t>
  </si>
  <si>
    <t>0640 /100602</t>
  </si>
  <si>
    <t>Брацлавському НВК:дошкільний навчальний заклад ЗОШ-інтернат I-III ступенів–гімназія на реконструкцію системи опалення</t>
  </si>
  <si>
    <t xml:space="preserve">КЗ «Вінницький обласний дитячий будинок «Гніздечко» на реконструкцію та облаштування території </t>
  </si>
  <si>
    <t>КЗ «Вінницький обласний дитячий будинок «Гніздечко» на капітальний ремонт перил, сходинкових клітин та паркетної підлоги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</si>
  <si>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</si>
  <si>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придбання ангіографічного обладнання</t>
  </si>
  <si>
    <t>0712146</t>
  </si>
  <si>
    <t xml:space="preserve">Відшкодування вартості лікарських засобів для лікування окремих захворювань </t>
  </si>
  <si>
    <t>Цільові видатки на лікування хворих на хронічну ниркову недостатність методом гемодіалізу</t>
  </si>
  <si>
    <t>Цільові видатки для придбання лікарських засобів, виробів медичного призначення, лабораторних реактивів для стаціонарних спеціалізованих закладів охорони здоров'я, що надають медичну допомогу громадянам, які постраждали внаслідок Чорнобидбської катастрофи, в тому числі для лікування онкологічних хворих</t>
  </si>
  <si>
    <t>Комплексному центру з надання соціальних послуг на придбання обладнання для облаштування закладу</t>
  </si>
  <si>
    <t>Козятинському обласному центру матері та дитини на придбання меблів для переоблаштування застарілого та зношеного обладнання кухні</t>
  </si>
  <si>
    <t>Вінницькому обласному центру соціально-психологічної реабілітації дітей та молоді з функціональними обмеженнями "ОБРІЙ" придбання 6-місного мінівену для забезпечення проведення батьківських шкіл в сільській місцевості для сімей, в яких виховуються діти з інвалідністю</t>
  </si>
  <si>
    <t>Придбання ноутбуків для укомплектування комп'ютерного класу для Вінницького обласного центру соціально-психологічної реабілітації дітей</t>
  </si>
  <si>
    <t>"Вінницька обласна редакційна колегія та штатна редакційна видавнича група /Редакція/ по підготовці та виданню обласної книги "Реабілітовані історією" - на придбання комп'ютерного обладнання</t>
  </si>
  <si>
    <t>Придбання службового автомобіля для Капустянської амбулаторії загальної практики сімейної медицини, по вулиці Мурованого, 2а, с. Капустяни, Тростянецького району, Вінницької області</t>
  </si>
  <si>
    <t>Будівництво Красносільської амбулаторії загальної практики сімейної медицини Комунального некомерційного підприємства «Бершадський центр первинної медико - санітарної допомоги» по вул. Шкільна,  1 В, с.Красносілка,  Бершадського району, Вінницької області</t>
  </si>
  <si>
    <t>Обласному комплексному центру надання соціальних послуг - на будівництво електричних мереж</t>
  </si>
  <si>
    <t>КЗ «Вінницький обласний клінічний Центр профілактики та боротьби зі СНІДом» на придбання морозильної камери</t>
  </si>
  <si>
    <t xml:space="preserve">Відокремлений підрозділ  Подільський зоопарк Вінницького обласного комунального спеціалізованого лісогосподарського підприємства "Віноблагроліс" по вул. С. Зулінського, 9 в м. Вінниці - будівництво комплексу для утримання та розведення диких червонокнижних тварин </t>
  </si>
  <si>
    <t>0817361</t>
  </si>
  <si>
    <t>7361</t>
  </si>
  <si>
    <t xml:space="preserve">Могилів-Подільському медичному коледжу на монтаж системи оповіщення про пожежу та управління евакуацією людей </t>
  </si>
  <si>
    <t>Новофастівська амбулаторія загальної практики сімейної медицини Комунального підприємства «Погребищенський центр первинної медико – санітарної допомоги» Погребищенської районної ради по вул. Садова, 12 Б, с. Новофастів, Погребищенського району,  Вінницької області – будівництво</t>
  </si>
  <si>
    <t>Джулинська спеціальна  ЗОШ-інтернат Бершадського р-ну Вінн.обл.-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</si>
  <si>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Придбання вантажо-пасажирського автомобіля для КЗ "Вінницький обласний центр фізичного здоровя населення "Спорт для всіх"</t>
  </si>
  <si>
    <r>
      <t>Будівництво</t>
    </r>
    <r>
      <rPr>
        <vertAlign val="superscript"/>
        <sz val="11"/>
        <rFont val="Times New Roman"/>
        <family val="1"/>
      </rPr>
      <t xml:space="preserve"> </t>
    </r>
    <r>
      <rPr>
        <sz val="11"/>
        <rFont val="Times New Roman"/>
        <family val="1"/>
      </rPr>
      <t xml:space="preserve"> об'єктів житлово-комунального господарства</t>
    </r>
  </si>
  <si>
    <t>Будівництво об'єктів соціально-культурного призначення</t>
  </si>
  <si>
    <r>
      <t>Будівництво</t>
    </r>
    <r>
      <rPr>
        <vertAlign val="superscript"/>
        <sz val="11"/>
        <rFont val="Times New Roman"/>
        <family val="1"/>
      </rPr>
      <t xml:space="preserve"> </t>
    </r>
    <r>
      <rPr>
        <sz val="11"/>
        <rFont val="Times New Roman"/>
        <family val="1"/>
      </rPr>
      <t xml:space="preserve"> інших об'єктів соціальної та виробничої інфраструктури комунальної власності</t>
    </r>
  </si>
  <si>
    <t>Реалізація програм допомоги і грантів Європейського Союзу, урядів іноземних держав, міжнародних організацій, донорських установ</t>
  </si>
  <si>
    <t>Субвенція з місцевого бюджету будівництво / капітальний ремонт / 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 за рахунок відповідної субвенції з державного бюджету</t>
  </si>
  <si>
    <t>Обласному КЗ «Вінницький обласний  дитячий кардіоревматологічний санаторій» на виконання робіт по капітальному ремонту адміністративного корпусу</t>
  </si>
  <si>
    <t>КЗ "Вінницький обласний центр післядипломної освіти медичних працівників" на придбання комп'ютерів</t>
  </si>
  <si>
    <t>Капітальний ремонт системи опалення адміністративної будівлі Жмеринської місцевої прокуратури (смт.Шаргород, вул. Героїв Майдану, буд.180) та капітальний ремонт системи каналізації (водовідведення), огорожі та фундаменту адміністративної будівлі прокуратури області (м. Вінниця, вул. Монастирська,33)</t>
  </si>
  <si>
    <t>Липовецькій обласній лікарні відновного лікування дітей з органічним ураженням центральної нервової системи, порушенням психіки і опорно-рухового апарату на проект та встановлення пожежної сигналізації</t>
  </si>
  <si>
    <t>Печерській обласній лікарні відновного лікування на проект та встановлення пожежної сигналізації</t>
  </si>
  <si>
    <t>Северинівській лікарні відновного лікування для проведення капітального ремонту адміністративно-господарського корпусу</t>
  </si>
  <si>
    <t>КУ «Авторемонтна база закладів охорони здоров’я» на придбання обладнання</t>
  </si>
  <si>
    <t xml:space="preserve">Погребищенського медичного коледжу  на виготовлення проектно-кошторисної документації на проведення капітального ремонту покрівлі корпусів №1 та №3 </t>
  </si>
  <si>
    <t>Інформаційно-методичне та просвітницьке забезпечення в галузі охорони здоров'я</t>
  </si>
  <si>
    <t>0712130</t>
  </si>
  <si>
    <t>0763 /081001</t>
  </si>
  <si>
    <t>Проведення належної медико-соціальної експертизи (МСЕК)</t>
  </si>
  <si>
    <t>0712150</t>
  </si>
  <si>
    <t>0763 /081002</t>
  </si>
  <si>
    <t>Інші програми, заклади та заходи у сфері охорони здоров'я</t>
  </si>
  <si>
    <t xml:space="preserve">Староприлуцькій  спеціальній ЗОШ – інтернат Липовецького р-ну на утеплення покрівлі їдальні </t>
  </si>
  <si>
    <t>Вінницькому обласному центру соціально-психологічної реабілітації дітей та молоді з функціональними обмеженнями "ОБРІЙ" на придбання сучасного реабілітаційного обладнання для відновлення рухомості рук та ніготримувачів послуг закладу з різними фізичними порушеннями</t>
  </si>
  <si>
    <t>Придбання комп'ютерів для забезпечення роботи центру для Жмеринського обласного центру соціально-психологічної реабілітації дітей</t>
  </si>
  <si>
    <t>Забезпечення діяльності інших закладів у сфері соціального захисту і соціального забезпечення</t>
  </si>
  <si>
    <t>0813242</t>
  </si>
  <si>
    <t>Інші заходи у сфері соціальнго захисту і соціального забезпечення</t>
  </si>
  <si>
    <t>0813240</t>
  </si>
  <si>
    <t>0611161</t>
  </si>
  <si>
    <t>Забезпечення діяльності інших закладів у сфері освіти</t>
  </si>
  <si>
    <t>0712151</t>
  </si>
  <si>
    <t>0763</t>
  </si>
  <si>
    <t>Забезпечення діяльності інших закладів у сфері охорони здоров'я</t>
  </si>
  <si>
    <t xml:space="preserve">Обласний військовий комісаріат </t>
  </si>
  <si>
    <t xml:space="preserve">для в/ч А1445 (через КЕВ м.Вінниця) </t>
  </si>
  <si>
    <t>Могилів-Подільський Прикордонний загін</t>
  </si>
  <si>
    <t>Калинівському державному професійному училищу № 21  на зміцнення матеріально-технічної бази</t>
  </si>
  <si>
    <t>Пошуково - видавниче агентство " Книга Пам'яті України" - на придбання комп'ютерного обладнання</t>
  </si>
  <si>
    <t>Спортивно-оздоровчий комплекс "Авангард" по вул. Козацька, 3 в смт. Браїлів Жмеринського району - реконструкція</t>
  </si>
  <si>
    <t>Вінницькій обласній дитячій клінічній лікарні на придбання пересувного апарату ультразвукової діагностики</t>
  </si>
  <si>
    <t xml:space="preserve">Вінницькій обласній дитячій клінічній лікарні на придбання наркозного апарату </t>
  </si>
  <si>
    <t>Вінницькому коледжу культури і мистецтв ім. М.Д.Леонтовича для придбання комп'ютерної техніки, фотоапарата</t>
  </si>
  <si>
    <t>Тульчинському коледжу культури на виготовлення проектно-кошторисної документації для придбання комп'ютерної техніки</t>
  </si>
  <si>
    <t>Тульчинському коледжу культури на виготовлення проектно-кошторисної документації на капітальний ремонт покрівлі, фасаду та навчальних аудиторій</t>
  </si>
  <si>
    <r>
      <t>Тульчинському</t>
    </r>
    <r>
      <rPr>
        <i/>
        <sz val="11"/>
        <color indexed="10"/>
        <rFont val="Times New Roman"/>
        <family val="1"/>
      </rPr>
      <t xml:space="preserve"> коледжу</t>
    </r>
    <r>
      <rPr>
        <i/>
        <sz val="11"/>
        <rFont val="Times New Roman"/>
        <family val="1"/>
      </rPr>
      <t xml:space="preserve"> культури для придбання світильників (люстри, 2 шт.) та штор-гардин (5 комп.) в центральний корпус «Палацу Потоцьких»</t>
    </r>
  </si>
  <si>
    <r>
      <t>Тульчинському</t>
    </r>
    <r>
      <rPr>
        <i/>
        <sz val="11"/>
        <color indexed="10"/>
        <rFont val="Times New Roman"/>
        <family val="1"/>
      </rPr>
      <t xml:space="preserve"> коледжу</t>
    </r>
    <r>
      <rPr>
        <i/>
        <sz val="11"/>
        <rFont val="Times New Roman"/>
        <family val="1"/>
      </rPr>
      <t xml:space="preserve"> культури для придбання на придбання та встановлення ліхтарів на території «Палацу Потоцьких»</t>
    </r>
  </si>
  <si>
    <r>
      <t xml:space="preserve">Тульчинському </t>
    </r>
    <r>
      <rPr>
        <i/>
        <sz val="11"/>
        <color indexed="10"/>
        <rFont val="Times New Roman"/>
        <family val="1"/>
      </rPr>
      <t xml:space="preserve">коледжу </t>
    </r>
    <r>
      <rPr>
        <i/>
        <sz val="11"/>
        <rFont val="Times New Roman"/>
        <family val="1"/>
      </rPr>
      <t>культури на виготовлення проектно-кошторисної документації на виконання благоустрою та пристосування території  «Палацу Потоцьких»</t>
    </r>
  </si>
  <si>
    <t>Тульчинському коледжу культури для придбання комп'ютерної техніки</t>
  </si>
  <si>
    <t>Вінницькій обласній універсальній бібліотеці ім.К.А. Тімірязєва для придбання комп'ютерної техніки</t>
  </si>
  <si>
    <t>Вінницькому обласному центру народної творчості для придбання комп'ютерної техніки, принтера</t>
  </si>
  <si>
    <t>Стрижавському дитячому будинку-інтернату виготовлення проектно-кошторисної документації на реконструкцію покрівлі житлового корпусу</t>
  </si>
  <si>
    <t xml:space="preserve">Вінницькому обласному клінічному високоспеціалізованому ендокринологічному центру на капітальний ремонт даху лікувального корпусу, придбання мікроскопу та пральної машини </t>
  </si>
  <si>
    <t>Липовецькій обласній лікарні відновного лікування дітей з органічним ураженням центральної нервової системи, порушенням психіки і опорно-рухового апарату на  встановлення пожежної сигналізації</t>
  </si>
  <si>
    <t>Стрижавському дитячому будинку-інтернату виготовлення проектно-кошторисної документації на капітальне будівництво пропускного пункту на території будинку-інтернату</t>
  </si>
  <si>
    <t xml:space="preserve">Обласний краєзнавчий музей на придбання музейних експонатів </t>
  </si>
  <si>
    <t xml:space="preserve">КЗ «Козятинська обласна туберкульозна лікарня» на проект та встановлення пожежної сигналізації </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</si>
  <si>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кінець 2017 року</t>
  </si>
  <si>
    <t xml:space="preserve">ДНЗ “ПЛСП м. Хмільник ” – заміна віконних блоків на енергозберігаючі </t>
  </si>
  <si>
    <t xml:space="preserve">Козятинському  вищому училищу залізничного транспорту на реконструкцію системи опалення закладу </t>
  </si>
  <si>
    <t xml:space="preserve">Комаргородському ВПУ для завершення реконструкції суміщеної рубероїдної покрівлі навчально – виробничих майстерень Комаргородського вищого професійного училища по вул. Соборна, 65, с. Комаргород, Томашпільського району, Вінницької області </t>
  </si>
  <si>
    <t>Буднянська спеціальна ЗОШ-інтернат Шаргородського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</si>
  <si>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Дашівський  навчально-реабілітаційний центр Іллінецького р-ну Вінницької області-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</si>
  <si>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Староприлуцька спеціальна ЗОШ-інтернат Липовецького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</si>
  <si>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Реставрація пам'ятки архітектури національного значення "Башта та мур" (охоронний номер 55/3) по вул. Мури,1 в м.Вінниці. Протиаварійні та невідкладні консерваційні роботи;</t>
  </si>
  <si>
    <t>"Реставрація з пристосуванням частини приміщень під "Прозорий офіс" (ліва сторона) "Будинок організацій" 1936-1940 рр., пам'ятка архітектури місцевого значення (охор.№292-М) за адресою вул.Соборна, 70 в м.Вінниця"</t>
  </si>
  <si>
    <t>Будівництво освітніх установ та закладів</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</si>
  <si>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</si>
  <si>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</si>
  <si>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Керівник апарату облдержадміністрації</t>
  </si>
  <si>
    <t xml:space="preserve">    В.БОЙКО</t>
  </si>
  <si>
    <t>0717360</t>
  </si>
  <si>
    <t>Обласна лікарня ім.Пирогова, м.Вінниця - будівництво хірургічного корпусу (перша черга)</t>
  </si>
  <si>
    <t>Служба у справах дітей</t>
  </si>
  <si>
    <t>Виготовлення проектно-кошторисної документації на виконання робіт з термоізоляції адмінбудівлі за адресою: м. Вінниця, вул. Порика, 29</t>
  </si>
  <si>
    <t>Захист населення і територій від надзвичайних ситуацій техногенного та природного характеру</t>
  </si>
  <si>
    <t>0320</t>
  </si>
  <si>
    <t>Заходи запобігання та ліквідації надзвичайних ситуацій та наслідків стихійного лиха</t>
  </si>
  <si>
    <t>2300000</t>
  </si>
  <si>
    <t>Департамент інформаційної діяльності та комунікацій з громадськістю ОДА</t>
  </si>
  <si>
    <t>2310000</t>
  </si>
  <si>
    <t>2318400</t>
  </si>
  <si>
    <t>Засоби масової інформації</t>
  </si>
  <si>
    <t xml:space="preserve">2318410 </t>
  </si>
  <si>
    <t>8410</t>
  </si>
  <si>
    <t>0830 /120000</t>
  </si>
  <si>
    <t>Фінансова підтримка засобів масової інформації</t>
  </si>
  <si>
    <t xml:space="preserve">2318420 </t>
  </si>
  <si>
    <t>8420</t>
  </si>
  <si>
    <t>0830</t>
  </si>
  <si>
    <t>Інші заходи у сфері засобів масової інформації</t>
  </si>
  <si>
    <t>в тому числі: погашення заборгованості та проведення поточних розрахунків за оренду приміщення за адресою вул.Соборна, 72, яке використовується організацією в якості українсько-кримськотатарського центру культурного розвитку</t>
  </si>
  <si>
    <t>Регіональна програма спряння інформаційного простору та громадянського суспільства у Вінницькій області на 2016-2018 роки</t>
  </si>
  <si>
    <t>в т. ч. заходи з відзначення загальнодержавних свят, ювілейних, памятних дат</t>
  </si>
  <si>
    <t>Єдина комплексна програма розвитку галузі культури і духовного відродження у Вінницькій області на  роки</t>
  </si>
  <si>
    <t>Департамент фінансів ОДА</t>
  </si>
  <si>
    <t>Інша діяльність</t>
  </si>
  <si>
    <t>Резервний фонд</t>
  </si>
  <si>
    <t>Міжбюджетні трансферти</t>
  </si>
  <si>
    <t>Дотації з місцевого бюджету</t>
  </si>
  <si>
    <t>Забезпечення діяльності ветеринарних лікарень та ветеринарних лабораторій</t>
  </si>
  <si>
    <t>Інші заходи у сфері сільського господарства</t>
  </si>
  <si>
    <t>2417600</t>
  </si>
  <si>
    <t>2417690</t>
  </si>
  <si>
    <t>Інші заходи, пов'язані з економічної діяльності</t>
  </si>
  <si>
    <t>Реалізація державних та місцевих житлових програм</t>
  </si>
  <si>
    <t>0610</t>
  </si>
  <si>
    <t>Плисківському психоневрологічному інтернату на проведення першого етапу капітального  ремонту корпусу №3  зі столовою</t>
  </si>
  <si>
    <t xml:space="preserve"> Жмеринському психоневрологічному будинку інтернату на проведення капітального ремонту кімнат гігієни, підлоги та облаштування пандусів</t>
  </si>
  <si>
    <t>Обласному пансіонату для осіб з інвалідністю та осіб похилого віку на проведення реконструкції кімнат гігієни психоневрологічного відділення</t>
  </si>
  <si>
    <t>0712144</t>
  </si>
  <si>
    <t>0763 /081009</t>
  </si>
  <si>
    <t>Капітальний ремонт (заміна вікон) другого поверху адмінбудівлі по вул. Театральна, 14 в м.Вінниця</t>
  </si>
  <si>
    <t>Стрижавському дитячому будинку-інтернату придбання автомобільного транспорту для перевезення інвалідів візочників</t>
  </si>
  <si>
    <t>КЗ "Вінницький обласний центр післядипломної освіти медичних працівників" на придбання муляжів</t>
  </si>
  <si>
    <t>Літинському відділенню екстренної медичної допомоги філії "Хмільницька станція екстренної медичної допомоги" на придбання медичних тренажерів-манекенів</t>
  </si>
  <si>
    <t>Субвенції з місцевого бюджету іншим місцевим бюджетам на здійснення інших програм та заходів за рахунок субвенцій з державного бюджету</t>
  </si>
  <si>
    <t>Вінницькій обласній клінічній лікарні ім. М.І.Пирогова на проект та встановлення пожежної сигналізації, отоларингічне відділення (вухо, горло, ніс)</t>
  </si>
  <si>
    <t xml:space="preserve">Управлінню СБУ у Вінницькій області - зміцнення матеріально-технічної бази оперативної групи УСБУ, що діє в районі проведення антитерористичної операції, спецпідрозділу УСБУ, а також суб’єктів боротьби з тероризмом в регіоні, координаційної групи антитерористичного центру при УСБУ, а також її ситуаційного антитерористичного центру, придбання медичного обладнання для військово-медичної служби </t>
  </si>
  <si>
    <t xml:space="preserve">Прокуратурі Вінницької області - проведення капітального ремонту адмін. будівлі Шаргородської місцевої прокуратури, капітальний ремонт інженерних мереж та адміністративної будівлі прокуратури Вінницької області </t>
  </si>
  <si>
    <t xml:space="preserve">м. Могилів-Подільському - на співфінансування придбання ангіографічного обладнання </t>
  </si>
  <si>
    <t xml:space="preserve">На виконання заходів Програми супроводження бюджетного процесу на 2016-2018 роки </t>
  </si>
  <si>
    <t>Департамент фінансів Вінницької обласної державної адміністрації</t>
  </si>
  <si>
    <t>Головне управління Державної фіскальної служби</t>
  </si>
  <si>
    <t>Головне управління Державної казначейської служби України у Вінницькій області</t>
  </si>
  <si>
    <t>Управління Північного офісу Держаудитслужби у Вінницькій області</t>
  </si>
  <si>
    <t xml:space="preserve">на виконання заходів Регіональної програми інформатизації "Електронна Вінниччина" на 2016-2018 роки </t>
  </si>
  <si>
    <t>Капітальний ремонт І поверху головного корпусу Вінницької обласної дитячої клінічної лікарні</t>
  </si>
  <si>
    <t>Вінницькій обласній дитячій клінічній лікарні на ремонт третього поверху поліклініки</t>
  </si>
  <si>
    <t>Утримання та розвиток автомобільних доріг загального користування та дорожньої інфраструктури за рахунок трансфертів з інших місцевих бюджетів</t>
  </si>
  <si>
    <t>Здійснення заходів в рамках проведення експеременту з розвитку автомобільних доріг загального користування в усіх областях та м.Києві, а також дорожньої інфраструктури у м.Києві</t>
  </si>
  <si>
    <t>0470 /180107</t>
  </si>
  <si>
    <t>Комунальному закладу "Вінницька обласна дитячо-юнацька спортивна школа стрільби" для придбання сучасної гвинтівки калібру 5,6 мм GRUNIG+ELMIGER</t>
  </si>
  <si>
    <t>Капітальний ремонт покрівлі навчального корпусу професійно-технічного училища №21 м.Калинівка</t>
  </si>
  <si>
    <t>Капітальний ремонт підвальних приміщень адміністративної будівлі по вул.Соборна, 15 в м.Вінниці</t>
  </si>
  <si>
    <t>Створення банків крові та її компонентів</t>
  </si>
  <si>
    <t>0712070</t>
  </si>
  <si>
    <t>0724 /080209</t>
  </si>
  <si>
    <t>Екстрена та швидка медична допомога населенню</t>
  </si>
  <si>
    <t>0712090</t>
  </si>
  <si>
    <t>0722 /080400</t>
  </si>
  <si>
    <t>Спеціалізована амбулаторно-поліклінічна допомога населенню</t>
  </si>
  <si>
    <t>Реконструкція головного корпусу окружної лікарні  для розміщення рентген - операційного блоку з ангіографом по вул. Полтавська, 89/2, в м. Могилів - Подільський Вінницької області</t>
  </si>
  <si>
    <t>0611080</t>
  </si>
  <si>
    <t>0922      /070307</t>
  </si>
  <si>
    <t xml:space="preserve">КУ «Територіальне медичне об’єднання «Вінницький обласний центр екстреної медичної допомоги та медицина катастроф» на проект та встановлення протипожежної сигналізації </t>
  </si>
  <si>
    <t xml:space="preserve">КУ «Територіальне медичне об’єднання «Вінницький обласний центр екстреної медичної допомоги та медицина катастроф» на проведення робіт по реконструкції підстанцій  </t>
  </si>
  <si>
    <t>Обласному КЗ «Вінницький спеціалізований будинок дитини з ураженням центральної нервової системи та порушенням психіки на капітальний ремонт ливневої системи</t>
  </si>
  <si>
    <t>Комунальному закладу "Вінницька обласна дитячо-юнацька спортивна школа стрільби" для придбання легкового автомобіля</t>
  </si>
  <si>
    <t>Капітальні видатки Вінницькій школі вищої спортивної майстерності для придбання жердини для стрибків у висоту, балону стислого повітря до пневматичної гвинтівки, бензину, дизпалива і мастильних матеріалів, спортивного чавна каное С-1</t>
  </si>
  <si>
    <t>На придбання енцефалографа комп’ютерного</t>
  </si>
  <si>
    <t>Код ФКВКБ/ КТКВК</t>
  </si>
  <si>
    <t>0100000</t>
  </si>
  <si>
    <t>Департамент будівництва, містобудування та архітектури ОДА</t>
  </si>
  <si>
    <t>Департамент охорони здоров'я  ОДА</t>
  </si>
  <si>
    <t>Обласна рада</t>
  </si>
  <si>
    <t>0110000</t>
  </si>
  <si>
    <t>0110100</t>
  </si>
  <si>
    <t>0100</t>
  </si>
  <si>
    <t>Державне управління</t>
  </si>
  <si>
    <t>0110150</t>
  </si>
  <si>
    <t>0150</t>
  </si>
  <si>
    <t>0111 /011116</t>
  </si>
  <si>
    <t xml:space="preserve">Могилів-Подільському дитячому легеневому туберкульозному санаторію на капітальний ремонт приміщень та заміна електропроводки </t>
  </si>
  <si>
    <t>Будівництво Озаринецької АЗПСМ</t>
  </si>
  <si>
    <t>Вінницькій обласній філармонії ім.Леонтовича для придбання сучасної мультимедійної техніки</t>
  </si>
  <si>
    <t>Вінницькій обласній філармонії ім.Леонтовича для встановлення системи кондиціювання повітря у глядацькій залі</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</si>
  <si>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</si>
  <si>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t>
  </si>
  <si>
    <t>Інша діяльність у сфері державного управління</t>
  </si>
  <si>
    <t>0113000</t>
  </si>
  <si>
    <t>3000</t>
  </si>
  <si>
    <t>Соціальний захист та соціальне забезпечення</t>
  </si>
  <si>
    <t>0113230</t>
  </si>
  <si>
    <t>1090 /090412</t>
  </si>
  <si>
    <t>Інші заклади та заходи</t>
  </si>
  <si>
    <t>0117600</t>
  </si>
  <si>
    <t>Інші програми та заходи, пов'язані з економічною діяльністю</t>
  </si>
  <si>
    <t>Членські внески до асоціацій органів місцевого самоврядування</t>
  </si>
  <si>
    <t>0117690</t>
  </si>
  <si>
    <t>7690</t>
  </si>
  <si>
    <t>0490 /180410</t>
  </si>
  <si>
    <t>Інша економічна діяльність</t>
  </si>
  <si>
    <t>0117693</t>
  </si>
  <si>
    <t>7693</t>
  </si>
  <si>
    <t>Інші заходи, пов'язані з економічною діяльністю</t>
  </si>
  <si>
    <t>Вінницькому обласному клінічному госпіталю ветеранів війни на капітальний ремонт приміщень терапевтичного відділення №1 лікувального корпусу вул.Пирогова 109а,м.Вінниця</t>
  </si>
  <si>
    <t>Капітальний ремонт адмінбудівлі з улаштуванням підйомника та облаштуванням туалету для людей з обмеженими можливостями по вул.Порика,29 в м.Вінниця</t>
  </si>
  <si>
    <t xml:space="preserve"> листопада 2018 року №</t>
  </si>
  <si>
    <t>Субвенція з місцевого бюджету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</si>
  <si>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</si>
  <si>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1115053</t>
  </si>
  <si>
    <t>0810 /130204</t>
  </si>
  <si>
    <t>Вінницькій обласній дитячій клінічній лікарні на придбання фотоелектроколориметра</t>
  </si>
  <si>
    <t>КЗ «Вінницький обласний клінічний Центр профілактики та боротьби зі СНІДом» на проведення капітального ремонту окремих приміщень лабораторії та ганку з пандусом</t>
  </si>
  <si>
    <t>Інші субвенції з місцевого бюджету</t>
  </si>
  <si>
    <t xml:space="preserve">Назва головного розпорядника коштів </t>
  </si>
  <si>
    <t>Найменування коду тимчасової класифікації видатків та кредитування місцевих бюджетів</t>
  </si>
  <si>
    <t>тис. грн.</t>
  </si>
  <si>
    <t>Загальний обсяг фінансування будівництва</t>
  </si>
  <si>
    <t>Разом видатків на поточний рік</t>
  </si>
  <si>
    <t xml:space="preserve">Вінницькому обласному клінічному госпіталю ветеранів війни на придбання автомобіля ШМД класу А </t>
  </si>
  <si>
    <t xml:space="preserve">Хмільницькій обласній фізіотерапевтичній лікарні на УЗД апарат </t>
  </si>
  <si>
    <t>Хмільницькій обласній фізіотерапевтичній лікарні на виготовлення ПКД на реконструкцію спального корпусу</t>
  </si>
  <si>
    <t>Середня загальноосвітня школа І-ІІІ ступеня, с. Сосонка Вінницького району - реконструкція</t>
  </si>
  <si>
    <t>1115063</t>
  </si>
  <si>
    <t>КУ «Авторемонтна база закладів охорони здоров’я» на придбання автомобіля</t>
  </si>
  <si>
    <t>0712152</t>
  </si>
  <si>
    <t>Інші програми та заходи у сфері охорони здоров'я</t>
  </si>
  <si>
    <t xml:space="preserve">КУ «Територіальне медичне об’єднання «Вінницький обласний центр екстреної медичної допомоги та медицина катастроф» на виготовлення проектно-кошторисної документації та капітальний ремонт підстанцій  </t>
  </si>
  <si>
    <t xml:space="preserve">Могилів-Подільському обласному протитуберкульозному санаторію для дорослих на виготовлення ПКД та ремонт крівлі даху у стаціонарному відділенні </t>
  </si>
  <si>
    <t>Для виготовлення ПКД "Реконструкція елементів благоустрою частини території пам'ятки  містобудування та архітектури державного значення "Палац", 1757р. (охор. №59) Вінницька область, м.Тульчин, вул.Незалежності, 19"</t>
  </si>
  <si>
    <t>Вінницькому обласному  Будинку культури вчителя для встановлення теплолічильника</t>
  </si>
  <si>
    <t xml:space="preserve">Обласному академічному музично-драматичному театру ім. М. Садовського для придбання (заміни) світлового та звукопідсилювального обладнання </t>
  </si>
  <si>
    <t>Управлінню патрульної поліції у Вінницькій області (через Департамент патрульної поліції Національної поліції України) - для зміцнення матеріально-технічної бази патрульної поліції, з метою забезпечення громадського порядку та безпеки на вулицях обласного центру шляхом збільшення щільності патрульних нарядів в місцях з ускладненою криміногенною ситуацією, зокрема в парках, біля нічних клубів та магазинів та забезпечення своєчасного реагування на порушення громадського спокою біля будинків в нічний час, а також на паління та розпиття спиртних напоїв в громадських місцях</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</si>
  <si>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</si>
  <si>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Обласній комунальній установі «Вінницька обласна станція переливання крові» на проект та встановлення протипожежної сигналізації</t>
  </si>
  <si>
    <t>Підвищення кваліфікації, перепідготовка кадрів закладами післядипломної освіти</t>
  </si>
  <si>
    <t>0712000</t>
  </si>
  <si>
    <t>Охорона здоров'я</t>
  </si>
  <si>
    <t>0712010</t>
  </si>
  <si>
    <t>2010</t>
  </si>
  <si>
    <t>0731 /080101</t>
  </si>
  <si>
    <t>Багатопрофільна стаціонарна медична допомога населенню</t>
  </si>
  <si>
    <t>Програми в галузі лісового господарства і мисливства</t>
  </si>
  <si>
    <t>0422 160903</t>
  </si>
  <si>
    <t>Державному заповіднику Буша на капітальний ремонт приміщення музею «Подільська хата»</t>
  </si>
  <si>
    <t>Державному заповіднику Буша на капітальний ремонт кам’яної огорожі верхнього парку скульптур та «Часів вічності»</t>
  </si>
  <si>
    <t xml:space="preserve">Державному заповіднику Буша на придбання автомобіля (мінівен) </t>
  </si>
  <si>
    <t>Санаторно-курортна допомога населенню</t>
  </si>
  <si>
    <t>Виготовлення проектно-кошторисної документації по проекту "Капітальний ремонт адмінбудівлі по вул.Соборна, 15 в м.Вінниці";</t>
  </si>
  <si>
    <t xml:space="preserve">КВНЗ Вінницькій академії неперервної освіти на встановлення вентиляції у цокольному приміщенні, обладнання архіву та книгосховища </t>
  </si>
  <si>
    <t xml:space="preserve">КВНЗ Вінницькій академії неперервної освіти на обладнання актової зали технічними засобами </t>
  </si>
  <si>
    <t xml:space="preserve">КВНЗ Вінницькій академії неперервної освіти на придбання комп’ютерного обладнання </t>
  </si>
  <si>
    <t>Реалізація інвестиційних програм і проектів за рахунок коштів, які надаються з державного бюджету</t>
  </si>
  <si>
    <t>Здійснення заходів та реалізація проектів на виконання Державної цільової соціальної програми "Молодь України"</t>
  </si>
  <si>
    <t>Надання фінансової підтримки громадським організаціям інвалідів і ветеранів, діяльність яких  має соціальну спрямованість</t>
  </si>
  <si>
    <t>0813190</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</si>
  <si>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</si>
  <si>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</si>
  <si>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Вінницькому обласному клінічному госпіталю ветеранів війни на капітальний ремонт поліклініки </t>
  </si>
  <si>
    <t>Хмільницькій обласній фізіотерапевтичній лікарні на проект та встановлення пожежної сигналізації</t>
  </si>
  <si>
    <t>Видатки за рахунок субвенції з державного бюджету місцевим бюджетам на здійснення заходів, спрямованих на розвиток системи охорони здоров'я у сільській місцевості</t>
  </si>
  <si>
    <t>Централізовані заходи з лікування хворих на цукровий та нецукровий діабет</t>
  </si>
  <si>
    <t>0714000</t>
  </si>
  <si>
    <t>0714030</t>
  </si>
  <si>
    <t>0824 /110201</t>
  </si>
  <si>
    <t>Забезпечення діяльності бібліотек</t>
  </si>
  <si>
    <t>ГУ Національної поліції у Вінницькій області - придбання спеціальних автомобілів</t>
  </si>
  <si>
    <t>Реконструкція нежитлової основної будівлі "Б" з прибудовою та надбудовою по вул. 1905 року, 12 в м. Вінниці</t>
  </si>
  <si>
    <t>Капітальний ремонт покрівлі навчально-побутового корпусу "Б" КЗ "Вінницький обласний центр соціально-психологічної реабілітації дітей" по вул 1905 року, 12 в м. Вінниця</t>
  </si>
  <si>
    <t>Завершення капітального ремонту в реанімаційному відділенні КЗ "Вінницька обласна клінічна дитяча інфекційна лікарня"</t>
  </si>
  <si>
    <t xml:space="preserve">Придбання апаратури (проектор, екран, фліпчарт, робоче комп'ютерне місце) для Вінницького обласного спеціалізованого клінічного диспансеру радіаційного захисту населення </t>
  </si>
  <si>
    <t>Придбання холодильника для Вінницького обласного бюро судово-медичної експертизи</t>
  </si>
  <si>
    <t xml:space="preserve">Придбання комп’ютера в комплекті для КУ «Авторемонтна база закладів охорони здоров’я» </t>
  </si>
  <si>
    <t>На виконання Програми поліпшення техногенної та пожежної безпеки населених пунктів та об’єктів усіх форм власності, розвитку інфраструктури підрозділів Державної служби України з надзвичайних ситуацій у Вінницькій області на 2016-2020 роки</t>
  </si>
  <si>
    <t>Подільському регіональному центру онкології для придбання сушильно-гладильної установки, яка працює від електроенергії, для забезпечення лікувального процесу та санітарних норм у центрі Онкології</t>
  </si>
  <si>
    <t xml:space="preserve">Обласна програма підтримки утримання об’єктів спільної  власності територіальних громад області </t>
  </si>
  <si>
    <t>Департамент цивільного захисту ОДА</t>
  </si>
  <si>
    <t>Капітальний ремонт по заміні віконних блоків з використанням енергозберігаючих технологій адмінбудівлі Департаменту цивільного захисту облдержадміністрації по вул. Монастирській, 26 м. Вінниця</t>
  </si>
  <si>
    <t>0711140</t>
  </si>
  <si>
    <t>0950</t>
  </si>
  <si>
    <t>1140</t>
  </si>
  <si>
    <t xml:space="preserve">Обласному КЗ «Вінницький обласний  дитячий кардіоревматологічний санаторій» на проведення ремонтних робіт у ванному відділенні </t>
  </si>
  <si>
    <t>Вінницькому коледжу культури і мистецтв ім. М.Д.Леонтовича на проведення капітального ремонту сходів коледжа</t>
  </si>
  <si>
    <t>КУ "ТМО "Вінницький обласний центр екстренної медичної допомоги та медицини катастроф" на придбання обладнання</t>
  </si>
  <si>
    <t>Субвенція з місцевого бюджету на співфінансування інвестиційних програм і проектів</t>
  </si>
  <si>
    <t>Капіальний ремонт захисної дамби урочища "Панасова" протяжністю 4 км. с. Велика Кісниця Ямпільського району Вінницької області</t>
  </si>
  <si>
    <t xml:space="preserve">Фінансова підтримка на утримання місцевих осередків (рад) всеукраїнських організацій фізкультурно-спортивної спрямованості </t>
  </si>
  <si>
    <t>Вінницькому обласному спеціалізованому клінічному диспансеру радіаційного захисту населення для придбання Апарату лазеротерапії скануючого двохканального</t>
  </si>
  <si>
    <t>Вінницькому обласному центру технічного та фінансового нагляду за діяльністю закладів охорони здоров’я для придбання автомобіля</t>
  </si>
  <si>
    <t xml:space="preserve">Управління СБУ у Вінницькій області </t>
  </si>
  <si>
    <t xml:space="preserve">Придбання службоваого автомобіля для Жданівської амбулаторії загальної практики сімейної медицини по вул. Жданова, 43 с. Війтівці, Хмільницького р-ну Вінницької області </t>
  </si>
  <si>
    <t>Транспорт та транспортна інфраструктура, дорожнє господарство</t>
  </si>
  <si>
    <t>0456 /170703</t>
  </si>
  <si>
    <t>Утримання та розвиток транспортної інфраструктури</t>
  </si>
  <si>
    <t>Додаток 6
до розпорядження голови 
обласної державної адміністрації</t>
  </si>
  <si>
    <t xml:space="preserve">Директор Департаменту фінансів облдержадміністрації  </t>
  </si>
  <si>
    <t xml:space="preserve">Капітальний ремонт вбиралень десятого поверху приміщення орендованого Департаментом соціальної та молодіжної політики Вінницької ОДА </t>
  </si>
  <si>
    <t>Обласний краєзнавчий музей на реконструкцію дерев’яних будівель на території історико - меморіального комплексу пам’яті жертв нацизму</t>
  </si>
  <si>
    <t>на виконання заходів Комплексної оборонно-правоохоронної програми Вінницької області на 2016-2020 роки "Безпечна Вінниччина - взаємна відповідальність влади та громад"</t>
  </si>
  <si>
    <t>Браїлівському професійному ліцею на встановлення вікон металопластикових</t>
  </si>
  <si>
    <t>В/ч А1619 (через КЕВ м. Вінниця) - на будівництво на території військової частини Алеї слави</t>
  </si>
  <si>
    <t>Придбання медичного обладнання для хірургічного корпусу обласної клінічної лікарні ім. м. І. Пирогова</t>
  </si>
  <si>
    <t>Придбання цифрового мамографу для Подільського регіонального центру онкології, Хмельницьке шосе, 84, м. Вінниця</t>
  </si>
  <si>
    <t>Заболотнянському дитячому психоневрологічному санаторію ім. акад. Д.К.Заболотного на встановлення протипожежної сигналізації</t>
  </si>
  <si>
    <t>Субвенція з місцевого бюджету на фінансове забезпечення будівництва/реконструкції/ремонту/утримання автомобільних доріг загального користування місцевого значення за рахунок відповідної субвенції з державного бюджету</t>
  </si>
  <si>
    <t xml:space="preserve">Субвенція з місцевого бюджету державному бюджету </t>
  </si>
  <si>
    <t>для проведення додаткових статистичних досліджень Головним управлінням статистики у Вінницькій області</t>
  </si>
  <si>
    <t>Тиврівському будинку інтернату геріатричного профілю  на проведення капітального ремонту житлового корпусу</t>
  </si>
  <si>
    <t>Плисківському психоневрологічному інтернату на капітальний ремонт житлового корпусу №4</t>
  </si>
  <si>
    <t>Плисківському психоневрологічному інтернату на проведення капітального ремонту пральні-котельні</t>
  </si>
  <si>
    <t>Яришівському психоневрологічному будинку - інтернату придбання промислової пральної машини, ПК та ін.</t>
  </si>
  <si>
    <t xml:space="preserve">Яришівському психоневрологічному будинку - інтернату на замінцу вікон в житловому корпусі </t>
  </si>
  <si>
    <t>Плисківському психоневрологічному інтернату на проведення першого етапу капітального ремонту корпусу №3 зі столовою</t>
  </si>
  <si>
    <t>Обласному пансіонату для осіб з інвалідністю та осіб похилого віку на виготовлення енергетичного паспорту на капітальний ремонт утеплення зовнішніх стін пансіонату по вул. Хмельницьке шосе №94</t>
  </si>
  <si>
    <t>Обласному пансіонату для осіб з інвалідністю та осіб похилого віку на виготовлення проектно-коштороисної документації на "Реконструкція кімнати кедровової бочки та гідро-ванни"</t>
  </si>
  <si>
    <t xml:space="preserve">Обласному пансіонату для осіб з інвалідністю та осіб похилого віку на проведення реконструкції кімнат гігієни психоневрлогічного відділення </t>
  </si>
  <si>
    <t>Вінницькому обласному центру соціально-психологічної реабілітації дітей та молоді з функціональними обмеженнями "ОБРІЙ" на виготовлення проектно - кошторисної документації на капітальний ремонт систем опалення приміщення філії центру "Обрій" з влаштуванням електричного опалювального пункту по вул. Космонавтів, 3 в смт. Вапнярка, Вінницької обл.</t>
  </si>
  <si>
    <t>Фінансова підтримка спортивних споруд, які належать громадським організаціям фізкультурно-спортивної спрямованості</t>
  </si>
  <si>
    <t>1115050</t>
  </si>
  <si>
    <t>Підтримка фізкультурно-спортивного руху</t>
  </si>
  <si>
    <t>1115051</t>
  </si>
  <si>
    <t>810 /130201</t>
  </si>
  <si>
    <t xml:space="preserve">Вінницькому обласному клінічному високоспеціалізованому ендокринологічному центру на капітальний ремонт поліклінічного відділення </t>
  </si>
  <si>
    <t>Вінницькому обласному клінічному госпіталю ветеранів війни на капітальний ремонт поліклініки та санвузлів</t>
  </si>
  <si>
    <t xml:space="preserve">Вінницькому обласному клінічному високоспеціалізованому ендокринологічному центру на капітальний ремонт корпусу "Д" </t>
  </si>
  <si>
    <t>Вінницькій обласній дитячій клінічній лікарні на придбання обладнання</t>
  </si>
  <si>
    <t>КЗ «Вінницька обласна психоневрологічна лікарня ім. О.І.Ющенка» на придбання комп’ютерного реографа</t>
  </si>
  <si>
    <t>Вінницькому обласному клінічному госпіталю ветеранів війни на придбання фізіотерапевтичного апарату</t>
  </si>
  <si>
    <t>КЗ «Вінницька обласна психоневрологічна лікарня ім. О.І.Ющенка» на придбання телеметричного електрокардіографа 12-канального</t>
  </si>
  <si>
    <t>КУ «Авторемонтна база закладів охорони здоров’я» на придбання автомобілів та проведення капітального ремонту</t>
  </si>
  <si>
    <t>Будівництво амбулаторії загальної практики сімейної медицини на 3-4 лікаря з житлом за адресою вул.Бузкова 2а, с.Городківка Крижопільського району Вінницької області</t>
  </si>
  <si>
    <t>Вінницькій обласній дитячій клінічній лікарні на монтаж кисневої системи післяопераційної палати відділення АІТ</t>
  </si>
  <si>
    <t>Вінницькому обласному бюро судово-медичної експертизи на придбання комп'ютерної техніки, ксерокса та 2-х пральних машин</t>
  </si>
  <si>
    <t>Утримання закладів, що надають соціальні послуги дітям, які опинились в складних життєвих обставинах</t>
  </si>
  <si>
    <t>Вінницькому коледжу культури і мистецтв ім. М.Д.Леонтовича для придбання цифрового осцилографу для діагностики та ремонту радіоапаратури</t>
  </si>
  <si>
    <t>Вінницькому коледжу культури і мистецтв ім. М.Д.Леонтовича для проведення капітального ремонту сцени(заміна підлоги)</t>
  </si>
  <si>
    <t>Вінницькому коледжу культури і мистецтв ім. М.Д.Леонтовича на проведення капітального ремонту сходів училища</t>
  </si>
  <si>
    <t xml:space="preserve">Вінницькому коледжу культури і мистецтв ім. М.Д.Леонтовича для проведення капітального ремонту санвузла на 4-му поверсі </t>
  </si>
  <si>
    <r>
      <t xml:space="preserve">Тульчинському </t>
    </r>
    <r>
      <rPr>
        <i/>
        <sz val="11"/>
        <color indexed="10"/>
        <rFont val="Times New Roman"/>
        <family val="1"/>
      </rPr>
      <t>училищу</t>
    </r>
    <r>
      <rPr>
        <i/>
        <sz val="11"/>
        <rFont val="Times New Roman"/>
        <family val="1"/>
      </rPr>
      <t xml:space="preserve"> культури на виготовлення проектно-кошторисної документації на виконання благоустрою та пристосування території  «Палацу Потоцьких»</t>
    </r>
  </si>
  <si>
    <r>
      <t xml:space="preserve">Тульчинському </t>
    </r>
    <r>
      <rPr>
        <i/>
        <sz val="11"/>
        <color indexed="10"/>
        <rFont val="Times New Roman"/>
        <family val="1"/>
      </rPr>
      <t>училищу</t>
    </r>
    <r>
      <rPr>
        <i/>
        <sz val="11"/>
        <rFont val="Times New Roman"/>
        <family val="1"/>
      </rPr>
      <t xml:space="preserve"> культури на  проведення поточного ремонту бокового фасаду східного корпусу, одноповерхової добудови східного корпусу, даху одноповерхової добудови східного корпусу</t>
    </r>
  </si>
  <si>
    <r>
      <t xml:space="preserve">Тульчинському </t>
    </r>
    <r>
      <rPr>
        <i/>
        <sz val="11"/>
        <color indexed="10"/>
        <rFont val="Times New Roman"/>
        <family val="1"/>
      </rPr>
      <t>училищу</t>
    </r>
    <r>
      <rPr>
        <i/>
        <sz val="11"/>
        <rFont val="Times New Roman"/>
        <family val="1"/>
      </rPr>
      <t xml:space="preserve"> культури на поточний ремонт приміщень №52 - коридор 2-го поверху, №55 - приміщення Блакитної зали центрального корпусу "Палацу Потоцьких"</t>
    </r>
  </si>
  <si>
    <r>
      <t xml:space="preserve">Вінницькому обласному клінічному високоспеціалізованому ендокринологічному центру на виготовлення ПКД та проведення робіт з реконструкції лікувального корпусу </t>
    </r>
    <r>
      <rPr>
        <sz val="11"/>
        <rFont val="Times New Roman"/>
        <family val="1"/>
      </rPr>
      <t>"Д"</t>
    </r>
  </si>
  <si>
    <t>Обласна програма розвитку особистих селянських та фермерських господарств, кооперативного руху на селі та дорадництва на 2016-2020 роки</t>
  </si>
  <si>
    <t>0421 /160903</t>
  </si>
  <si>
    <t>Програми в галузі сільського господарства</t>
  </si>
  <si>
    <t>0421 /</t>
  </si>
  <si>
    <t>Вінницькому обласному центру туризму, спорту, краєзнавства та екскурсій на завершення капітального ремонту навчального корпусу  І і ІІ поверхів</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</si>
  <si>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</si>
  <si>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Капітальні видатки Комунальному закладу "Вінницька обласна спеціалізована дитячщ-юнацька школа олімпійського резерва з веслування імені Юлії Рябчинської" для придбання спортивних човнів початкового рівня та відповідного обладнання</t>
  </si>
  <si>
    <t>Капітальні видатки Вінницькій школі вищої спортивної майстерності для придбання нафтопродуктів, спортивної форми та інвентарю, забезпечення спортсменів відрядженнями, придбання човнів, байдарок та слаломних весел, конструкції для перевезення човнів, двигуна до човна</t>
  </si>
  <si>
    <t>Капітальні видатки Вінницькій обласній організації фізкультурно-спортивного товариства «Динамо» України для  виготовлення проектно-кошторисної документації, полоси перешкод та проведення робіт по зовнішньому ремонту спортивного залу</t>
  </si>
  <si>
    <t>Капітальні видатки Комунальному закладу «Вінницький обласний центр фізичного здоров'я населення «Спорт для всіх» для придбання грузово-пасажирського автомобіля</t>
  </si>
  <si>
    <t>Спеціалізована стаціонарна медична допомога населенню</t>
  </si>
  <si>
    <t>0712040</t>
  </si>
  <si>
    <t>0734   /080204</t>
  </si>
  <si>
    <t>0712050</t>
  </si>
  <si>
    <t>0761 /080207</t>
  </si>
  <si>
    <t>Медико-соціальний захист дітей-сиріт і дітей, позбавлених батьківського піклування</t>
  </si>
  <si>
    <t>0712060</t>
  </si>
  <si>
    <t>0762 /08/0208</t>
  </si>
  <si>
    <t>Співфінансування проекту "Подільський зоопарк як центр сімейного дозвілля", що буде реалізовуватися за рахунок коштів, отриманих від ЄС у рамках підтримки секторальної політики</t>
  </si>
  <si>
    <t>Центру перепідготовки та підвищення кваліфікації працівникам органів державної  влади, органів місцевого самоврядування у Вінницькій області на придбання комп’ютерного обладнання</t>
  </si>
  <si>
    <t xml:space="preserve">Комунальній організації «Центр матеріально-технічного та інформаційного забезпечення закладів освіти» для придбання системного блоку </t>
  </si>
  <si>
    <t xml:space="preserve">Військовій частині 3028 Нацгвардії України - на відновлення, реконструкцію, поточний ремонт та забезпечення належного утримання адміністративного корпусу, казармено-житлового фонду, господарських та інших споруд, приміщень (місць) зберігання озброєння, техніки, зміцнення матеріально-технічної бази, проведення відновлювальних робіт техніки, озброєння та спеціальних засобів </t>
  </si>
  <si>
    <t xml:space="preserve">В/ч А1619 (через КЕВ м. Вінниця) - проведення капітального ремонту приміщень казарми В/ч та санітарної частини </t>
  </si>
  <si>
    <t>Ободівська спеціальна ЗОШ-інтернат Тростянецького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</si>
  <si>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Могилів-Подільському медичному коледжу на придбання комп'ютерної техніки та навчально-методичних посібників</t>
  </si>
  <si>
    <t>Вінницькому обласному спеціалізованому територіальному медичному об'єднанню "Фтизіатрія" на проведення ремонтних робіт з реконструкції відділення легеневого туберкульозу дітей</t>
  </si>
  <si>
    <t>Центрально-Західне міжнародне управління з питань виконання кримінальних покарань та пробації Міністерства юстиції України</t>
  </si>
  <si>
    <t xml:space="preserve">Військова частина 3028 Нацгвардії України </t>
  </si>
  <si>
    <t>Військовій частині 3008 Нацгвардії України</t>
  </si>
  <si>
    <t>для в/ч А1619 (через КЕВ м.Вінниця)</t>
  </si>
  <si>
    <t>Реконструкція та реставрації Центру нефрології та діалізу Вінницької обласної клінічної лікарні ім.М.І.Пирогова в м.Вінниці по вул.Пирогова, 46;</t>
  </si>
  <si>
    <t>Староприлуцькій  спеціальній ЗОШ – інтернат Липовецького р-ну на утеплення горища їдальні</t>
  </si>
  <si>
    <t xml:space="preserve">Могилів-Подільському дитячому легеневому туберкульозному санаторію на встановлення протипожежної сигналізації </t>
  </si>
  <si>
    <t xml:space="preserve">Могилів-Подільському обласному протитуберкульозному санаторію для дорослих на встановлення протипожежної сигналізації </t>
  </si>
  <si>
    <t>Заболотненському дитячому психоневрологічному санаторію ім. акад. Д.К.Заболотного на встановлення протипожежної сигналізації</t>
  </si>
  <si>
    <t>Тульчинський дитячий ортопедичний санаторій на фізіотерапевтичний комплекс BTL PLUS-1</t>
  </si>
  <si>
    <t xml:space="preserve">Тульчинський дитячий ортопедичний санаторій на магнітотерапевтичний прилад BTL-09 </t>
  </si>
  <si>
    <t xml:space="preserve">Тульчинський дитячий ортопедичний санаторій на встановлення протипожежної сигналізації </t>
  </si>
  <si>
    <t xml:space="preserve">Обласному КЗ «Вінницький обласний  дитячий кардіоревматологічний санаторій» на встановлення протипожежної сигналізації </t>
  </si>
  <si>
    <t>Жданівська амбулаторія загальної практики сімейної медицини по вул.Жданова,43, с.Війтівці, Хмільницького району Вінницької області - будівництво</t>
  </si>
  <si>
    <t>На реалізацію заходів Програми розвитку особистих селянських, фермерських господарств, кооперативного руху на селі та дорадництва на 2016-2020 роки – на часткове відшкодування витрат за закуплену установку індивідуального доїння або (та) холодильну установку для зберігання і охолодження молока в розмірі 50% фізичним особам, які мають 3 і більше корів молочного напряму продуктивності</t>
  </si>
  <si>
    <t>0443 /150101</t>
  </si>
  <si>
    <t xml:space="preserve">Ремонт </t>
  </si>
  <si>
    <t>Вінницькому обласному клінічному госпіталю ветеранів війни на придбання санітарного автомобіля, призначеного для перевезення пацієнтів госпіталю з метою додаткових обстежень</t>
  </si>
  <si>
    <t xml:space="preserve">Вінницькому обласному спеціалізованому територіальному медичному об’єднанню «Фтизіатрія» на проект та встановлення пожежної сигналізації </t>
  </si>
  <si>
    <t>КЗ «Козятинська обласна туберкульозна лікарня» на опалювальні котли під тверде паливо, потужністю 90кВт</t>
  </si>
  <si>
    <t xml:space="preserve">КЗ «Козятинська обласна туберкульозна лікарня» на заміну вікон та дверей на енергозберігаючі </t>
  </si>
  <si>
    <t>Вінницькому обласному клінічному високоспеціалізованому ендокринологічному центру на проектні роботи</t>
  </si>
  <si>
    <t>КУ «Жмеринська лікарня відновного лікування» на проведення капітального ремонту кардіологічного відділення</t>
  </si>
  <si>
    <t>КУ «Жмеринська лікарня відновного лікування» на реконструкцію ортопедичного відділення для відновного лікування хворих з наслідками травм і захворювань опорно-рухового апарату</t>
  </si>
  <si>
    <t>Козятинському  вищому училищу залізничного транспорту на капітальний ремонт даху гуртожитку</t>
  </si>
  <si>
    <t>Мазурівському аграрному професійному ліцею для придбання та встановлення металопластикових вікон</t>
  </si>
  <si>
    <t>Хмільницькому аграрному центру професійної освіти для завершення реконструкції котельні та капітального ремонту тепломережі</t>
  </si>
  <si>
    <t>Вищому професійному училищу № 41 м. Тульчин для завершення капітального ремонту з утеплення даху та заміни вікон</t>
  </si>
  <si>
    <t xml:space="preserve">Вищому професійному училищу № 42 м. Погребище для робіт по утепленню гуртожитку </t>
  </si>
  <si>
    <t>Брацлавському НВК:дошкільний навчальний заклад ЗОШ-інтернат I-III ступенів–гімназія на капітальний ремонт системи опалення</t>
  </si>
  <si>
    <t>Ситковецькій спеціальній ЗОШ – інтернат Немирівського р-ну на проведення оцінки технічного стану будівлі навчального корпусу</t>
  </si>
  <si>
    <t>Серебрійському навчально-реабілітаційному центру Могилів-Подільського р-ну на реконструкцію системи теплопостачання спортивної зали</t>
  </si>
  <si>
    <t xml:space="preserve">Браїлівському професійному ліцею на придбання автоматичної пральної машини </t>
  </si>
  <si>
    <t>Виконання інвестеційних  проектів</t>
  </si>
  <si>
    <t>0717363</t>
  </si>
  <si>
    <t>На придбання спеціалізовних автомобілів для новозбудованих амбулаторій</t>
  </si>
  <si>
    <t xml:space="preserve">Будівництво каналізаційних очисних споруд для Тиврівського будинку-інтернату геріатричного профілю по вул. Матросова, 2, смт.Тиврів, Тиврівського р-ну, Вінницької області </t>
  </si>
  <si>
    <t>Придбання газового котла  для Вінницького обласного центру соціально психологічної реабілітації дітей</t>
  </si>
  <si>
    <t>1014081</t>
  </si>
  <si>
    <t>Забезпечення діяльності інших закладів в галузі культури і мистецтва</t>
  </si>
  <si>
    <t>Центр кіномистецтва та культури «Кіно-Поділля» для придбання кіно, відео, звукотехнічного обладнання</t>
  </si>
  <si>
    <t>КЗ "Вінницький обласна комплексна дитячо-юнацька спортивна школа" для придбання помп'ютерів</t>
  </si>
  <si>
    <t>Вінницькій обласній філармонії ім.Леонтовича для встановлення вікон, дверних блоків та придбання меблів,обладнання та кондиціонеру для артистичних кімнат</t>
  </si>
  <si>
    <t>Дотація з місцевого бюджету за рахунок стабілізаційної дотації з державного бюджету</t>
  </si>
  <si>
    <t xml:space="preserve">Дах, ганок, утеплення фасаду житлового корпусу Стрижавського дитячого будинку-інтернату, вул. Новосільська, 39, смт Стрижавка Вінницького району - капітальний ремонт  </t>
  </si>
  <si>
    <t>0617361</t>
  </si>
  <si>
    <t xml:space="preserve">"Новітня сільськогосподарська техніка - складова забезпечення ринку праці високо кваліфікованими робітниками підготовлених Комаргородським ВПУ" Томашпільський район </t>
  </si>
  <si>
    <t>Могилів-Подільському медичному коледжу на придбання обладнання (лічильника теплової енергії)</t>
  </si>
  <si>
    <t>Вінницькій обласній науково медичній бібліотеці для передплати періодичних медичних видань</t>
  </si>
  <si>
    <t>Вінницькому обласному спеціалізованому клінічному диспансеру радіаційного захисту населення на придбання комп'ютерного обладнання</t>
  </si>
  <si>
    <t>Обласному КЗ «Вінницький обласний  дитячий кардіоревматологічний санаторій» на придбання обладнання</t>
  </si>
  <si>
    <t>Вінницькому обласному спеціалізованому територіальному об'єднанню "Фтизіатрія" для придбання обладнання (Фотокалориметра) в лабораторії Кашперівського дитячого туберкульозного санаторію "Лісова пісня"</t>
  </si>
  <si>
    <t>Дитячий будинок-інтернат по вул. Новосільській, 39 у смт. Стрижавка Вінницького району - реконструкція частини приміщень існуючої будівлі під оздоровчий комплекс для дітей-інвалідів</t>
  </si>
  <si>
    <t>Розширення двоповерхового корпусу лікувально-діагностичного відділення на території обласної фізіотерапевтичної лікарні по вул. Шолом Алейхема, 8 у м.Хмільнику - реконструкція</t>
  </si>
  <si>
    <t xml:space="preserve">Вінницькому обласному шкірно-венерологічному диспансеру на проект та встановлення пожежної сигналізації </t>
  </si>
  <si>
    <t>Вінницькому обласному шкірно-венерологічному диспансеру на капітальний ремонт даху</t>
  </si>
  <si>
    <t>0810 /130102</t>
  </si>
  <si>
    <t>Обласному пансіонату для осіб з інвалідністю та осіб похилого віку на виготовлення проектно-кошторисної документації на капітальний ремонт житлових кімнат та коридорів п'ятого поверху</t>
  </si>
  <si>
    <t>Обласному академічному музично-драматичному театру ім. М. Садовського для придбання універсального деревообробного верстату, проекційного екрану, музичного обладнання та заміни світлового та звукового обладнання</t>
  </si>
  <si>
    <t>0600000</t>
  </si>
  <si>
    <t>Департамент освіти і науки ОДА</t>
  </si>
  <si>
    <t>0610000</t>
  </si>
  <si>
    <t>0611000</t>
  </si>
  <si>
    <t>Освіта</t>
  </si>
  <si>
    <t>0611040</t>
  </si>
  <si>
    <t>0922     /070301</t>
  </si>
  <si>
    <t>ОКЗ "Прибузька спецшкола-інтернат" (допоміжна школа)-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</si>
  <si>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 xml:space="preserve">     Микола КОПАЧЕВСЬКИЙ</t>
  </si>
  <si>
    <t>Обласний краєзнавчий музей на придбання моніторів для експозиційних залів</t>
  </si>
  <si>
    <t xml:space="preserve"> Обласний краєзнавчий музей на придбання вантажно - пасажирського автомобіля</t>
  </si>
  <si>
    <t>І поверх приміщень Вінницького обласного центру реінтеграції бездомних громадян по вул. Гагаріна, 20 б, смт Вороновиця Вінницького району - реконструкуція</t>
  </si>
  <si>
    <t>0717361</t>
  </si>
  <si>
    <t>Капітальний ремонт складської будівлі (літ. А) КУ "Вінницький обласний центр цивільного захисту та матеріальних резервів" по вул. Соборній, 283, м. Немирів, Вінницької області"</t>
  </si>
  <si>
    <t>Утримання та розвиток автомобільних доріг загального користування та дорожньої інфраструктури за рахунок субвенції з державного бюджету</t>
  </si>
  <si>
    <t xml:space="preserve">Військовій частині А1445 - проведення ремонту озброєння та військової техніки, що брала участь в АТО та закупівля обладнання для відновлення озброєння та спеціальних засобів </t>
  </si>
  <si>
    <t>Придбання медичного обладнання для Вінницького обласного клінічного онкологічного диспансера, вул. Хмельницьке шосе, 84, м.Вінниця"</t>
  </si>
  <si>
    <t>Вінницькій обласній клінічній лікарні ім. М.І.Пирогова на придбання комп’ютерного обладнання для електронної черги</t>
  </si>
  <si>
    <t>Вінницькій обласній клінічній лікарні ім. М.І.Пирогова на проект та встановлення пожежної сигналізації</t>
  </si>
  <si>
    <t>Вінницькій обласній дитячій клінічній лікарні на придбання комп’ютерного обладнання для електронної черги</t>
  </si>
  <si>
    <t>Капітальний ремонт приміщень цокольного поверху адміністративної будівлі по вул.Хмельницьке шосе, 7 в м.Вінниця</t>
  </si>
  <si>
    <t>Співфінансування інвестиційних проектів, що реалізуються за рахунок коштів державного фонду регіонального розвитку</t>
  </si>
  <si>
    <t>Немирівському навчально-реабілітаційному центру на утеплення покрівлі майстерні, спального корпусу</t>
  </si>
  <si>
    <t>Немирівському навчально-реабілітаційному центру на заміну вікон та дверей на енергозберігаючі</t>
  </si>
  <si>
    <t>Робоча група редколегії тому Зводу пам'яток історії та культури Вінницької області України - на придбання комп'ютерного обладнання</t>
  </si>
  <si>
    <t>Придбання медичного обладнання для Вінницького обласного клінічного госпіталю ветеранів війни по вул. Пирогова, 109А, м. Вінниця</t>
  </si>
  <si>
    <t>Виготовлення ПКД по об'єкту "Капітальний ремонт адміністративної будівлі по вул.В.Порика, 29 м.Вінниці" (забезпечення доступності осіб з обмеженими фізичними можливостями та інших маломобільних груп населення) та  проведення їх експертизи</t>
  </si>
  <si>
    <t>1000000</t>
  </si>
  <si>
    <t>Управління культури і мистецтв ОДА</t>
  </si>
  <si>
    <t>1010000</t>
  </si>
  <si>
    <t>1011000</t>
  </si>
  <si>
    <t>1011120</t>
  </si>
  <si>
    <t>1011140</t>
  </si>
  <si>
    <t>1014000</t>
  </si>
  <si>
    <t>1014010</t>
  </si>
  <si>
    <t>0821 /110102</t>
  </si>
  <si>
    <t>Фінансова підтримка театрів</t>
  </si>
  <si>
    <t>1014020</t>
  </si>
  <si>
    <t>0822 /110103</t>
  </si>
  <si>
    <t>Фінансова підтримка філармоній, художніх і музичних колективів, ансамблів, концертних та циркових організацій</t>
  </si>
  <si>
    <t>1014030</t>
  </si>
  <si>
    <t>1014040</t>
  </si>
  <si>
    <t>0824 /110202</t>
  </si>
  <si>
    <t>Забезпечення діяльності музеїв і виставок</t>
  </si>
  <si>
    <t>1014050</t>
  </si>
  <si>
    <t>0827 /110203</t>
  </si>
  <si>
    <t>Забезпечення діяльності заповідників</t>
  </si>
  <si>
    <t>1014070</t>
  </si>
  <si>
    <t>0823 /110300</t>
  </si>
  <si>
    <t>Фінансова підтримка кінематографії</t>
  </si>
  <si>
    <t>1014080</t>
  </si>
  <si>
    <t>0829 /110502</t>
  </si>
  <si>
    <t>1115060</t>
  </si>
  <si>
    <t>Інші заходи з розвитку фізичної культури та спорту</t>
  </si>
  <si>
    <t>1115061</t>
  </si>
  <si>
    <t>0810 /130115</t>
  </si>
  <si>
    <t>Амбулаторія загальної практики сімейної медицини по вул. Соборна, 11а, с. Студена об'єднаної територіальної громади Піщанського району Вінницької області - будівництво</t>
  </si>
  <si>
    <t>Будівництво житла для окремих категорій населення відповідно до законодавства</t>
  </si>
  <si>
    <t>Придбання житла для окремих категорій населення відповідно до законодавства</t>
  </si>
  <si>
    <t>0443 /150201</t>
  </si>
  <si>
    <t>0511</t>
  </si>
  <si>
    <t>Охорона та раціональне використання природних ресурсів</t>
  </si>
  <si>
    <t>0540</t>
  </si>
  <si>
    <t>2500000</t>
  </si>
  <si>
    <t>Реконструкція залу засідань, холу та нежитлових приміщень існуючої адміністративної будівлі під ляльковий театр по вул.Хмельницьке шосе, 7 в м.Вінниця</t>
  </si>
  <si>
    <t>0828       /110204</t>
  </si>
  <si>
    <t>Забезпечення діяльності палаців i будинків культури, клубів, центрів дозвілля та iнших клубних закладів</t>
  </si>
  <si>
    <t>0617300</t>
  </si>
  <si>
    <t>Будівництво та регіональний розвиток</t>
  </si>
  <si>
    <t>0617321</t>
  </si>
  <si>
    <t>0443</t>
  </si>
  <si>
    <t>0700000</t>
  </si>
  <si>
    <t>0710000</t>
  </si>
  <si>
    <t>0711000</t>
  </si>
  <si>
    <t>0711120</t>
  </si>
  <si>
    <t>1120</t>
  </si>
  <si>
    <t>Борисівська амбулаторія зальної практики сімейної медицини комунального підприиємства "Центр первинної медико-санітарної допомоги" Іллінецької міської ради по вул. Тараса Шевченка, 1а, в с.Борисівка, Іллінецького району Вінницької області - будівництво</t>
  </si>
  <si>
    <t>Дотація з місцевого бюджету на здійснення переданих видатків з утримання закладів освіти та охорони здоров'я за рахунок відповідної додаткової дотації з державного бюджету</t>
  </si>
  <si>
    <t xml:space="preserve">Вінницькій обласній дитячій клінічній лікарні на  проект на встановлення пожежної сигналізації </t>
  </si>
  <si>
    <t xml:space="preserve">Вінницькому обласному спеціалізованому клінічному диспансеру радіаційного захисту населення проект та встановлення пожежної сигналізації </t>
  </si>
  <si>
    <t xml:space="preserve">Обласному Бюро судово-медичної експертизи на обладнання </t>
  </si>
  <si>
    <r>
      <t>Будівництво</t>
    </r>
    <r>
      <rPr>
        <vertAlign val="superscript"/>
        <sz val="11"/>
        <rFont val="Times New Roman"/>
        <family val="1"/>
      </rPr>
      <t xml:space="preserve"> </t>
    </r>
    <r>
      <rPr>
        <sz val="11"/>
        <rFont val="Times New Roman"/>
        <family val="1"/>
      </rPr>
      <t>освітніх установ та закладів</t>
    </r>
  </si>
  <si>
    <r>
      <t>Будівництво</t>
    </r>
    <r>
      <rPr>
        <vertAlign val="superscript"/>
        <sz val="11"/>
        <rFont val="Times New Roman"/>
        <family val="1"/>
      </rPr>
      <t xml:space="preserve"> </t>
    </r>
    <r>
      <rPr>
        <sz val="11"/>
        <rFont val="Times New Roman"/>
        <family val="1"/>
      </rPr>
      <t>медичних установ та закладів</t>
    </r>
  </si>
  <si>
    <t>Капітальний ремонт фасадів та даху лікувального корпусу (корпус №8) Вінницької обласної клінічної лікарні ім.М.І.Пирогова в м.Вінниці по вул.Пирогова, 46;</t>
  </si>
  <si>
    <t>Брацлавському психоневрологічному будинку – інтернат проведення капітального ремонту приміщення їдальні</t>
  </si>
  <si>
    <t>Виготовлення проектно-кошторисної документації на проведення капітального ремонту покрівлі корпусу №1 Погребищенського медичного коледжу</t>
  </si>
  <si>
    <t xml:space="preserve">Подільському регіональному центру онкології на проект та  встановлення пожежної сигналізації </t>
  </si>
  <si>
    <t xml:space="preserve">Вінницькій обласній психіатричній лікарні № 2 на придбання обладнання </t>
  </si>
  <si>
    <t>Вінницькій обласній психіатричній лікарні № 2 на проект та виготовлення пожежної сигналізації</t>
  </si>
  <si>
    <t xml:space="preserve"> Вінницькій школі вищої спортивної майстерності на придбання предметів довгострокового використання - спортивного човна байдарки К-1</t>
  </si>
  <si>
    <t xml:space="preserve">ДНЗ “Гущинецьке ВПУ” - на встановлення енергозберігаючих вікон </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</si>
  <si>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</si>
  <si>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придбання ангіографічного обладнання за рахунок відповідної субвенції з державного бюджету</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</si>
  <si>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</si>
  <si>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7367</t>
  </si>
  <si>
    <t>Виконання інвестиційних проектів в рамках реалізації заходів, спрямованих на розвиток системи охорони здоров'я у сільській місцевості</t>
  </si>
  <si>
    <r>
      <t>Будівництво</t>
    </r>
    <r>
      <rPr>
        <vertAlign val="superscript"/>
        <sz val="12"/>
        <rFont val="Times New Roman"/>
        <family val="1"/>
      </rPr>
      <t xml:space="preserve"> </t>
    </r>
    <r>
      <rPr>
        <sz val="12"/>
        <rFont val="Times New Roman"/>
        <family val="1"/>
      </rPr>
      <t xml:space="preserve"> інших об'єктів соціальної та виробничої інфраструктури комунальної власності</t>
    </r>
  </si>
  <si>
    <t>Обласний краєзнавчий музей  ремонт експозиційних залів 8,9,10,11,12</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</si>
  <si>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</si>
  <si>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t>
  </si>
  <si>
    <t>0513</t>
  </si>
  <si>
    <t>Придбання службового автомобіля для  Красносільської амбулаторії загальної практики сімейної медицини по вул. Шкільна, 1В, с.Красносілка,  Бершадського району, Вінницької області</t>
  </si>
  <si>
    <t>Придбання службового автомобіля для Білопільської амбулаторії загальної практики сімейної медицини по вул. Шкільна, 1 б, с. Білопілля, Козятинського району,  Вінницької області</t>
  </si>
  <si>
    <t>Придбання службового автомобіля для Новофастівської амбулаторії загальної практики сімейної медицини по вул.Садова, 12 Б, Погребищенського району,  Вінницької області</t>
  </si>
  <si>
    <t>Проведення капітального ремонту позаміських запасних пунктів управлінь облдержадміністрації</t>
  </si>
  <si>
    <t>Вінницькому обласному спеціалізованому клінічному диспансеру радіаційного захисту населення на придбання 2-х ком'ютерів</t>
  </si>
  <si>
    <t>Вінницькому обласному спеціалізованому клінічному диспансеру радіаційного захисту населення на проведення капітального ремонту частини коридору (здійснення протипожежних заходів)</t>
  </si>
  <si>
    <t>КЗ «Вінницький обласний клінічний Центр профілактики та боротьби зі СНІДом» на придбання медичних меблів</t>
  </si>
  <si>
    <t>Северинівській лікарні відновного лікування для придбання медичного обладнання</t>
  </si>
  <si>
    <t>Ситковецькій спеціальній ЗОШ – інтернат Немирівського р-ну на  утеплення спортзалу та галереї</t>
  </si>
  <si>
    <t xml:space="preserve">Котюжанівському навчально-реабілітаційному центру Мурованокуриловецького району на реконструкцію системи опалення </t>
  </si>
  <si>
    <t>Реконструкція спортивно-оздоровчого комплексу "Авангард" по вул.Козацька, 3 в смт. Браїлів, Жмеринського району, Вінницької області</t>
  </si>
  <si>
    <t xml:space="preserve">Обласний краєзнавчий музей на озеленення території та облаштування посту охорони філії «Музей М.Д.Леонтовича» с.Марківка, Теплицького району </t>
  </si>
  <si>
    <t>Яришівському психоневрологічному будинку – інтернату  заміну вікон в житловому корпусі з виготовленням ПКД</t>
  </si>
  <si>
    <t>Яришівському психоневрологічному будинку – інтернату на проведення капітального ремонту приміщення для реабілітації підопічних з виготовленням ПКД</t>
  </si>
  <si>
    <t>Яришівському психоневрологічному будинку – інтернату на облаштування спортивного майданчика з метою забезпечення дозвілля підопічних з виготовленням ПКД</t>
  </si>
  <si>
    <t>Стрижавському дитячому будинку-інтернату придбання обладнання для облаштування  на базі закладу вуличного реабілітаційно-оздоровчого мінікомплексу «Стежка здоров'я»</t>
  </si>
  <si>
    <t>Інша діяльність у сфері екології та охорони природних ресурсів</t>
  </si>
  <si>
    <t>0718340</t>
  </si>
  <si>
    <t>0520 /240605</t>
  </si>
  <si>
    <t>Природоохоронні заходи за рахунок цільових фондів</t>
  </si>
  <si>
    <t>0717300</t>
  </si>
  <si>
    <t>0717322</t>
  </si>
  <si>
    <t>0443 /150122</t>
  </si>
  <si>
    <t>Будівництво медичних установ та закладів</t>
  </si>
  <si>
    <t>0800000</t>
  </si>
  <si>
    <t>Інформаційно-аналітичний центр на придбання обладнання для облаштування комп’ютерного класу з метою проведення апробувань з впровадження новітніх програмних комплексів та пакетів прикладних програм для здійснення аналітики діяльності підвідомчих установ</t>
  </si>
  <si>
    <t>Реалізація інвестиційних програм і проектів за рахунок субвенції на здійснення заходів щодо соціально-економічного розвитку окремих територій</t>
  </si>
  <si>
    <t>Реалізація інвестиційних програм і проектів за рахунок субвенції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</si>
  <si>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Співфінансування з місцевого бюджету інвестиційних програм і проектів</t>
  </si>
  <si>
    <t>Реалізація інших заходів щодо соціально-економічного розвитку територій</t>
  </si>
  <si>
    <t>Департамент агропромислового розвитку, екології та природних ресурсів ОДА</t>
  </si>
  <si>
    <t>Сільське і лісове господарство, рибне господарство та мисливство</t>
  </si>
  <si>
    <t>0421 /160101</t>
  </si>
  <si>
    <t>Здійснення заходів з землеустрою </t>
  </si>
  <si>
    <t>0422 /160903</t>
  </si>
  <si>
    <t>Білопільська амбулаторія загальної практики сімейної медицини комунального підприємства "Козятинський районний медичний центр первинної медико-санітарної допомоги Козятинської районної ради" по вул. Шкільна, 1б, с. Білопілля, Козятинського району, Вінницької області - будівництво</t>
  </si>
  <si>
    <t>КУ «Жмеринська лікарня відновного лікування» на проект та встановлення пожежної сигналізації</t>
  </si>
  <si>
    <t xml:space="preserve">КЗ «Вінницька обласна психоневрологічна лікарня ім. О.І.Ющенка» на виготовлення ПКД та капітальний ремонт водогону холодного та гарячого водопостачання в підвальних приміщеннях лікарні </t>
  </si>
  <si>
    <t>1090 /091212</t>
  </si>
  <si>
    <t>Забезпечення обробки інформації з нарахування та виплати допомог і компенсацій</t>
  </si>
  <si>
    <t>1090 /091214</t>
  </si>
  <si>
    <t>0817300</t>
  </si>
  <si>
    <t>0817323</t>
  </si>
  <si>
    <t>Будівництво установ та закладів соціальної сфери</t>
  </si>
  <si>
    <t>0900000</t>
  </si>
  <si>
    <t>Служба у справах дітей ОДА</t>
  </si>
  <si>
    <t>0910000</t>
  </si>
  <si>
    <t>0913000</t>
  </si>
  <si>
    <t>0913110</t>
  </si>
  <si>
    <t>3110</t>
  </si>
  <si>
    <t>0913111</t>
  </si>
  <si>
    <t>3111</t>
  </si>
  <si>
    <t>Гайсинському комунальному вищому навчальному закладу «Гайсинський медичний коледж» на капітальний ремонт та реконструкція покрівлі спортивного залу та гуртожитку №1</t>
  </si>
  <si>
    <t>Гайсинському комунальному вищому навчальному закладу «Гайсинський медичний коледж» на проект та встановлення протипожежної сигналізації</t>
  </si>
  <si>
    <t>Могилів-Подільському медичному коледжу на продовження робіт по капітальному ремонту покрівлі навчального корпусу №2</t>
  </si>
  <si>
    <t>Забезпечення соціальними послугами стаціонарного  догляду з наданням місця для проживання дітей з вадами фізичного та розумового розвитку</t>
  </si>
  <si>
    <t>0813102</t>
  </si>
  <si>
    <t>1020 /090901</t>
  </si>
  <si>
    <t xml:space="preserve">Обласному академічному музично-драматичному театру ім. М. Садовського на ремонт майстерні </t>
  </si>
  <si>
    <t>Поповнення матеріального резерву згідно номенклатури</t>
  </si>
  <si>
    <t xml:space="preserve">Внески до статутного капіталу суб'єктів господарювання </t>
  </si>
  <si>
    <t>Вінницькій обласній клінічній лікарні ім. М.І.Пирогова на придбання обладнання отоларингічному відділенню (вухо, горло, ніс)</t>
  </si>
  <si>
    <t>ГУ ДСНС України у Вінницькій області  на придбання спеціальної аварійно-рятувальної машини середнього типу швидкого реагування</t>
  </si>
  <si>
    <t xml:space="preserve">ОКЗ  «Прибузькій спецшколі – інтернат»  на встановлення зовнішнього освітлення </t>
  </si>
  <si>
    <t>Капітальний ремонт будівлі літера "Б" КЗ "Вінницький обласний центр соціально-психологічної реабілітації дітей" по вул 1905 року, 12 в м. Вінниця</t>
  </si>
  <si>
    <t>Капітальний ремонт існуючої будівлі Вінницької обласної філармонії в м.Вінниця, вул.Хмельницьке шосе, 7</t>
  </si>
  <si>
    <t xml:space="preserve">Зозівському професійному аграрному ліцею на заміну котла на енергозберігаючий твердопаливний </t>
  </si>
  <si>
    <t>ОКЗ  “Прибузькій спецшколі – інтернат”на придбання насосу для водонапірної  вежі</t>
  </si>
  <si>
    <t xml:space="preserve">ОКЗ  “Прибузькій спецшколі – інтернат” капітальний ремонт водонапірної вежі </t>
  </si>
  <si>
    <t>Тульчинській спеціалізованій школі-інтернат-ліцей на утеплення фасаду головного корпусу</t>
  </si>
  <si>
    <t xml:space="preserve">Тульчинській спеціалізованій школі-інтернат-ліцей на реконструкцію системи водопостачання  та системи опалення </t>
  </si>
  <si>
    <t>Вінницькому обласному центру туризму, спорту краєзнавства та екскурсій на капітальний ремонт даху</t>
  </si>
  <si>
    <t xml:space="preserve">Немирівському професійному ліцею на встановлення енергозберігаючих вікон </t>
  </si>
  <si>
    <t>Калинівському державному професійному училищу № 21  на заміну вікон у гуртожитку</t>
  </si>
  <si>
    <t>Вінницькому обласному центру технічної творчості учнівської молоді на придбання автотранспорту</t>
  </si>
  <si>
    <t xml:space="preserve">Всього </t>
  </si>
  <si>
    <t>КУ «ТМО «Вінницький обласний центр екстреної медичної допомоги та медицини катастроф»«Тульчинська станція екстреної медичної допомоги» для Томашпільського відділення естреної медичної допомоги на придбання сумок</t>
  </si>
  <si>
    <t xml:space="preserve">Вінницькому обласному спеціалізованому клінічному диспансеру радіаційного захисту населення для придбання Апарату мікрохвильової терапії </t>
  </si>
  <si>
    <t xml:space="preserve">Вінницькому обласному спеціалізованому клінічному диспансеру радіаційного захисту населення для придбання Апарату радіохвильового хірургічного </t>
  </si>
  <si>
    <t>Вінницькому обласному бюро судово-медичної експертизи на придбання обладнання</t>
  </si>
  <si>
    <t xml:space="preserve"> КУ «Інформаційно-аналітичний центр медичної статистики» Вінницької області на проведення капітального ремонту (модернізації) комп’ютерної техніки </t>
  </si>
  <si>
    <t xml:space="preserve">Котюжанівському навчально-реабілітаційному центру Мурованокуриловецького району на реставрацію спального корпусу </t>
  </si>
  <si>
    <t>Немирівському професійному ліцею на капітальний ремонт майстерні для створення навчально-практичного центру "Електрозварювальник ручного зварювання. Електрогазозварник на автоматичних та напівавтоматичних машинах. Зварник"</t>
  </si>
  <si>
    <t>Вінницькому обласному центру технічної творчості учнівської молоді для придбання проекторів в навчальні класи</t>
  </si>
  <si>
    <t xml:space="preserve">Вінницькому обласному клінічному високоспеціалізованому ендокринологічному центру на проект та встановлення пожежної сигналізації </t>
  </si>
  <si>
    <t>Капітальний ремонт фасаду та даху будівлі корпусу №13 "Травматологічне відділення. ЛОР відділення" Вінницької обласної клінічної лікарні ім.М.І.Пирогова, по вул.Пирогова, 46, м.Вінниці;</t>
  </si>
  <si>
    <t>Реконструкція будівлі корпусу №15 "Відділення мікрохірургії ока, відділення гемодіалізу, пульмонологічне відділення" Вінницької обласної клінічної лікарні ім.М.І.Пирогова по вул.Пирогова, 46 в м.Вінниці;</t>
  </si>
  <si>
    <t xml:space="preserve">Вінницькій обласній дитячій клінічній лікарні на придбання УЗД апарату </t>
  </si>
  <si>
    <t>На відновлення і підтримання сприятливого гідрологічного режиму та санітарного стану річки Рось та її притоків</t>
  </si>
  <si>
    <t xml:space="preserve">Капітальний ремонт даху будівлі КЗ «Погребищенська ЗОШ №2 І-ІІІ ступенів Погребищенської районної ради Вінницької області» по вул. Київська, 50 в м. Погребище Вінницької області </t>
  </si>
  <si>
    <t>Староприлуцькій  спеціальній ЗОШ – інтернат Липовецького р-ну  на утеплення горища спального корпусу</t>
  </si>
  <si>
    <t>Самгородоцька спеціальна ЗОШ-інтернат Козятинського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</si>
  <si>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0620</t>
  </si>
  <si>
    <t>Заходи, пов'язані з поліпшенням питної води</t>
  </si>
  <si>
    <t>На організацію роботи землесосного снаряду по розчищенню санітарної зони в районі водозабору річки Південний Буг на території КП «Вінницяоблводоканал»</t>
  </si>
  <si>
    <t xml:space="preserve">Військовій частині А1619 - на ремонт озброєння та військової техніки бригади, що брала участь в АТО, облаштування алеї слави на території військової частини з метою увічнення пам’яті загиблих військовослужбовців </t>
  </si>
  <si>
    <t xml:space="preserve">на відзначення проектів-переможців15-го обласного конкурсу проектів розвитку територіальних громад </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</si>
  <si>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</si>
  <si>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0712020</t>
  </si>
  <si>
    <t>0732  /080201</t>
  </si>
  <si>
    <t xml:space="preserve">Підземна споруда пам'ятки архітектури національного значення - Келій, XVIII ст. (охор.№54/3) Комплексу Єзуїтського монастиря - пам'ятки архітектури національного значення (охор. №54) по вул. Соборна, 19 м. Вінниця - реставрація </t>
  </si>
  <si>
    <t>Реставрація та пристосування пам'ятки архітектури національного значення "Палац" ох.№978 (будівля загальноосвітньої школи I-III ступенів) в с.Чорномин по вул.Шкільна, 1 Піщанського району Вінницької області;</t>
  </si>
  <si>
    <t>Субвенція з місцевого бюджету на реалізацію проектів співробітництва між територіальними громадами</t>
  </si>
  <si>
    <t>Іванівська спеціальна ЗОШ-інтернат Калинівського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</si>
  <si>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КЗ «Вінницька обласна психоневрологічна лікарня ім. О.І.Ющенка» на придбання системи високошвидкісного бору для краніотомії</t>
  </si>
  <si>
    <t>Обласному КЗ «Вінницький обласний  дитячий кардіоревматологічний санаторій» на капітальний ремонт сходового маршу</t>
  </si>
  <si>
    <t xml:space="preserve">Вінницькій обласній дитячій клінічній лікарні – система рентгенографічна цифрова на 2 робочі місця </t>
  </si>
  <si>
    <t xml:space="preserve">Вінницькій обласній дитячій клінічній лікарні  на придбання лапароскопічної стійки та операційного столу </t>
  </si>
  <si>
    <t xml:space="preserve"> КНЗ "Вінницький обласний дитячий будинок  "Гніздечко" Вінницької обласної Ради-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</si>
  <si>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Немирівська спеціальна ЗОШ-інтернат ім.М.О.Некрасова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</si>
  <si>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Вінницькому обласному центру технічної творчості учнівської молоді для придбання автотранспорту</t>
  </si>
  <si>
    <t xml:space="preserve">Браїлівському професійному ліцею на придбання котлів на альтернативних видах палива  </t>
  </si>
  <si>
    <t xml:space="preserve">Браїлівському професійному ліцею на придбання насосу </t>
  </si>
  <si>
    <t>Браїлівському професійному ліцею на придбання та встановлення дверей енергозберігаючих</t>
  </si>
  <si>
    <t>0718300</t>
  </si>
  <si>
    <t xml:space="preserve">Обласному КЗ «Вінницький спеціалізований будинок дитини з ураженням центральної нервової системи та порушенням психіки на проект та встановлення протипожежної сигналізації </t>
  </si>
  <si>
    <t>Обласному КЗ «Вінницький спеціалізований будинок дитини з ураженням центральної нервової системи та порушенням психіки на капітальний ремонт даху, вентиляції та ливньової каналізації</t>
  </si>
  <si>
    <t>Департамент міжнародного співробітництва та регіонального розвитку ОДА</t>
  </si>
  <si>
    <t>2510000</t>
  </si>
  <si>
    <t>2517600</t>
  </si>
  <si>
    <t>0411     /180404</t>
  </si>
  <si>
    <t>Сприяння розвитку малого і середнього підприємництва</t>
  </si>
  <si>
    <t>7620</t>
  </si>
  <si>
    <t>Розвиток готельного господарства та туризму</t>
  </si>
  <si>
    <t>7622</t>
  </si>
  <si>
    <t>Вінницькому обласному клінічному госпіталю ветеранів війни на придбання обладнання</t>
  </si>
  <si>
    <t>Утримання закладів, що надають соціальні послуги дітям, які опинились у складних життєвих обставинах</t>
  </si>
  <si>
    <t>0813120</t>
  </si>
  <si>
    <t>Здійснення соціальної роботи з вразливими категоріями населення</t>
  </si>
  <si>
    <t>0813121</t>
  </si>
  <si>
    <t>1040 /091101</t>
  </si>
  <si>
    <t xml:space="preserve">В/ч А0215 Командування ПС ЗСУ (через в/ч А0549) - спорудження пам’ятника загиблим під час участі в АТО, закупівля музичного обладнання та інструменту, належне утримання адміністративного корпусу, казарм та інших споруд, зміцнення матеріально-технічної бази </t>
  </si>
  <si>
    <t>Вінницькому обласному центру соціально-психологічної реабілітації дітей та молоді з функціональними обмеженнями "ОБРІЙ" придбання 9-місного автомобіля для забезпечення проведення батьківських шкіл в сільській місцевості для сімей, в яких виховуються діти з інвалідністю</t>
  </si>
  <si>
    <t>Вінницькому обласному клінічному госпіталю ветеранів війни на капітальний ремонт санвузлів та відділень</t>
  </si>
  <si>
    <t xml:space="preserve">Вінницькому обласному клінічному госпіталю ветеранів війни на завершення робіт по встановленню пожежної сигналізації </t>
  </si>
  <si>
    <t>Співфінансування інвеситційних проектів, що реалізуються за рахунок коштів державного фонду регіонального розвитку</t>
  </si>
  <si>
    <t xml:space="preserve">Вінницький обласний клінічний онкологічний  диспансер по Хмельницькому шосе, 84, у м. Вінниця - реконструкція урологічного відділення </t>
  </si>
  <si>
    <t>Яришівському психоневрологічному будинку – інтернату на придбання харчового котла та картоплечистки</t>
  </si>
  <si>
    <t>Немирівському навчально-реабілітаційному центру  на утеплення спальних корпусів</t>
  </si>
  <si>
    <t>Реконструкція Вінницької обласної спеціалізованої дитячо-юнацької школи олімпійського резерву з веслування ім.Ю.Рябчинської в м.Вінниці по вул.Князів Коріатовичів, 123;</t>
  </si>
  <si>
    <t>Реконструкція будівлі КО "Спорткомплекс" Здоров'я" по вул. Я.Шепеля, 23 в м.Вінниці;</t>
  </si>
  <si>
    <t>Капітальний ремонт приміщень в адмінбудівлі по вул.Соборна, 15-а в м.Вінниці;</t>
  </si>
  <si>
    <t>Реконструкція адмінбудівлі із заміною покрівлі та утепленням фасадів по вул.Монастирська, 47 в м.Вінниця;</t>
  </si>
  <si>
    <t xml:space="preserve"> - капітальні видатки</t>
  </si>
  <si>
    <t xml:space="preserve">Комаргородському ВПУ для завершення капітального ремонту гуртожитку №2 Комаргородського вищого професійного училища по вул. Соборна, 65, с. Комаргород, Томашпільського району, Вінницької області </t>
  </si>
  <si>
    <t>Вінницькій обласній дитячій клінічній лікарні на ремонт четвертого поверху поліклініки</t>
  </si>
  <si>
    <t>Реставрація пам'ятки архітектури національного значення "Палац" (1805 р) охор.№973/1 по вул. Спортивна, 3 смт. Муровані Курилівці</t>
  </si>
  <si>
    <t>Реконструкція частини інфекційного відділення Вінницької обласної дитячої клінічної лікарні в відділення екстренної медичної допомоги з прибудовою по вул. Хмельницьке шосе, 108 в м.Вінниця</t>
  </si>
  <si>
    <t xml:space="preserve">Стрижавському дитячому будинку-інтернату виготовлення проектно-кошторисної документації на будівництво 2-ох поверхового малокомплектного будинку для відділення підтриманого проживання на закладу </t>
  </si>
  <si>
    <t xml:space="preserve">Стрижавському дитячому будинку-інтернату проведення капітального ремонту 1-го поверху житлового корпусу </t>
  </si>
  <si>
    <t xml:space="preserve">Стрижавському дитячому будинку-інтернату проведення реконструкції огорожі території  з встановленням прохідної </t>
  </si>
  <si>
    <t>Брацлавському психоневрологічному будинку – інтернату на придбання промислової пральної машини та холодильних шаф</t>
  </si>
  <si>
    <t>Комунальній організації «Центр матеріально-технічного та інформаційного забезпечення закладів освіти» для придбання автотранспорту</t>
  </si>
  <si>
    <t>Придбання комп'ютерноъ техніки, побутової техніки, будматеріалів, медичного обладнання та інвентарю для комунального закладу "Кашперівський дитячий туберкульозний санаторій "Лісова пісня" Департаменту охорони здоров'я Вінницької обласної державної адміністрації, пров. Санаторний, 1, с.Кашперівка Козятинського району</t>
  </si>
  <si>
    <t xml:space="preserve">Вінницький обласний клінічний онкологічний диспансер, м.Вінниця -придбання ультразвукового діагностичного обладнання </t>
  </si>
  <si>
    <t>0813200</t>
  </si>
  <si>
    <t>0813241</t>
  </si>
  <si>
    <t xml:space="preserve">Муровано-Куриловецькій санаторній школі-інтернат на капітальний ремонт  підлоги актової зали, вестибюля, капітальний ремонт опалення спортивно-оздоровчого комплексу </t>
  </si>
  <si>
    <t>Брацлавському НВК:дошкільний навчальний заклад ЗОШ-інтернат I-III ступенів–гімназія на утеплення спального корпусу</t>
  </si>
  <si>
    <t xml:space="preserve">Погребищенського медичного коледжу  на виготовлення проектно-кошторисної документації на проведення капітального ремонту покрівлі корпусу №1 </t>
  </si>
  <si>
    <t>Брацлавському психоневрологічному будинку – інтернат на завершення капітального ремонту банно-прального комплексу</t>
  </si>
  <si>
    <t>Стрижавський дитячий будинок-інтернат, вул. Новосільська, 39, смт. Стрижавка Вінницького району – капітальний ремонт (дах, ганок, утеплення фасаду житлового корпусу)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</si>
  <si>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</si>
  <si>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на здійснення переданих видатків у сфері освіти за рахунок коштів освітньої субвенції</t>
  </si>
  <si>
    <t>Реконструкція будівлі корпусу №18 "Поліклініка" Вінницької обласної клінічної лікарні ім. М.І. Пирогова м.Вінниця (включно з виготовленням ПКД)</t>
  </si>
  <si>
    <t xml:space="preserve">Вінницькому медичному коледжу ім. акад. Д.К.Заболотного , проект та встановлення протипожежної сигналізації </t>
  </si>
  <si>
    <t>Заходи із запобігання та ліквідації надзвичайних ситуацій та наслідків стихійного лиха</t>
  </si>
  <si>
    <t>Вінницькому обласному шкірно-венерологічному диспансеру на придбання обладнання</t>
  </si>
  <si>
    <t xml:space="preserve">Вінницькому обласному клінічному госпіталю ветеранів війни для проведення капітального ремонту приміщень, відділень лікувального корпусу та поліклініки </t>
  </si>
  <si>
    <t>Вінницькій обласній дитячій клінічній лікарні на придбання приладів для вимірювання витрат, рівня та тиску рідин і газів (теплові лічильники)</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</si>
  <si>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</si>
  <si>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</si>
  <si>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</si>
  <si>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 xml:space="preserve">Придбання ноутбуків та принтерівв КЗ "Вінницький обласна комплексна дитячо-юнацька спортивна школа" </t>
  </si>
  <si>
    <t>Вінницькій обласній клінічній лікарні ім. М.І.Пирогова на придбання обладнання та автомобілю</t>
  </si>
  <si>
    <t>Інші програми, заклади та заходи у сфері освіти</t>
  </si>
  <si>
    <t xml:space="preserve">Обласна цільова програма роботи з обдарованою молоддю на  роки                    </t>
  </si>
  <si>
    <t xml:space="preserve">Обласна програма розвитку інформаційних та інноваційних технологій в закладах освіти Вінницької області  на 2016-2020 роки.         </t>
  </si>
  <si>
    <t>0613000</t>
  </si>
  <si>
    <t>0613140</t>
  </si>
  <si>
    <t>1040  /091108</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</si>
  <si>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</si>
  <si>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0614000</t>
  </si>
  <si>
    <t>Культура і мистецтво</t>
  </si>
  <si>
    <t>0614060</t>
  </si>
  <si>
    <t xml:space="preserve">Підтримка спорту вищих досягнень та організацій, які здійснюють фізкультурно-спортивну діяльність в регіоні </t>
  </si>
  <si>
    <t>Громадський порядок та безпека</t>
  </si>
  <si>
    <t>0380</t>
  </si>
  <si>
    <t>Заходи та роботи з мобілізаційної підготовки місцевого значення</t>
  </si>
  <si>
    <t>- капітальні видатки</t>
  </si>
  <si>
    <t>Стрижавському дитячому будинку-інтернату придбання мікроавтобуса для покращення умов транспортування вихованців</t>
  </si>
  <si>
    <t xml:space="preserve">Тульчинському обласному спеціалізованому будинку дитини для дітей з ураженням центральної нервової системи та порушенням психіки на капітальний ремонт (заміна віконний блоків) </t>
  </si>
  <si>
    <t xml:space="preserve">Тульчинському обласному спеціалізованому будинку дитини для дітей з ураженням центральної нервової системи та порушенням психіки на проект та встановлення протипожежної сигналізації </t>
  </si>
  <si>
    <t>Реалізація програм і заходів в галузі туризму та курортів</t>
  </si>
  <si>
    <t>7630</t>
  </si>
  <si>
    <t>Реалізація програм і заходів в галузі зовнішньоекономічної діяльності</t>
  </si>
  <si>
    <t>7680</t>
  </si>
  <si>
    <t>0490      /180410</t>
  </si>
  <si>
    <t>7300</t>
  </si>
  <si>
    <t>7380</t>
  </si>
  <si>
    <t xml:space="preserve">Капітальний ремонт окремих приміщень КЗ «Ширмівська ЗОШ І-ІІІ ступенів Погребищенської районної ради Вінницької області» по вул. Трудова, 19 в с. Ширмівка Погребищенського району Вінницької області (перерахунок проектно-кошторисної документації в цінах станом на 01.03.2018 року) </t>
  </si>
  <si>
    <r>
      <t>Будівництво</t>
    </r>
    <r>
      <rPr>
        <vertAlign val="superscript"/>
        <sz val="11"/>
        <rFont val="Times New Roman"/>
        <family val="1"/>
      </rPr>
      <t xml:space="preserve"> </t>
    </r>
    <r>
      <rPr>
        <sz val="11"/>
        <rFont val="Times New Roman"/>
        <family val="1"/>
      </rPr>
      <t xml:space="preserve"> установ та закладів соціальної сфери</t>
    </r>
  </si>
  <si>
    <r>
      <t>Будівництво</t>
    </r>
    <r>
      <rPr>
        <vertAlign val="superscript"/>
        <sz val="11"/>
        <rFont val="Times New Roman"/>
        <family val="1"/>
      </rPr>
      <t xml:space="preserve"> </t>
    </r>
    <r>
      <rPr>
        <sz val="11"/>
        <rFont val="Times New Roman"/>
        <family val="1"/>
      </rPr>
      <t>установ та закладів культури</t>
    </r>
  </si>
  <si>
    <r>
      <t>Будівництво</t>
    </r>
    <r>
      <rPr>
        <vertAlign val="superscript"/>
        <sz val="11"/>
        <rFont val="Times New Roman"/>
        <family val="1"/>
      </rPr>
      <t xml:space="preserve"> </t>
    </r>
    <r>
      <rPr>
        <sz val="11"/>
        <rFont val="Times New Roman"/>
        <family val="1"/>
      </rPr>
      <t>споруд, установ та закладів фізичної культури і спорту</t>
    </r>
  </si>
  <si>
    <t>КЗ «Вінницька обласна психоневрологічна лікарня ім. О.І.Ющенка» для придбання обладнання</t>
  </si>
  <si>
    <t>Вінницькому обласному клінічному госпіталю ветеранів війни для проведення капітального ремонту системи вуличного освітлення</t>
  </si>
  <si>
    <t>КП «Вінницький обласний наркологічний диспансер «Соціотерапія» на проект та встановлення пожежної сигналізації</t>
  </si>
  <si>
    <t xml:space="preserve">Подільському регіональному центру онкології на придбання комп’ютерного обладнання для електронної черги </t>
  </si>
  <si>
    <t xml:space="preserve">Подільському регіональному центру онкології на придбання обладнання </t>
  </si>
  <si>
    <t xml:space="preserve">Подільському регіональному центру онкології на на проект та  встановлення пожежної сигналізації </t>
  </si>
  <si>
    <t>Придбання датчика для ультразвукового обладнання для Вінницького обласного клінічного високоспеціалізованого ендокринологічного диспансеру, вул. Мічуріна, 32, м. Вінниця</t>
  </si>
  <si>
    <t>Придбання функціональних ліжок для комунального закладу “Вінницька обласна психоневрологічна лікарня ім. академіка О. І. Ющенка” по вул. Пирогова, 109, м. Вінниця</t>
  </si>
  <si>
    <t>Реконструкція об’єктів механічного очищення ОСК м. Вінниця, розташованих за адресою: м. Вінниця, вул. Сабарівське шосе, 4</t>
  </si>
  <si>
    <t>Реконструкція мережі водопроводу по вул. Івана Богуна, 157–255 в м. Вінниці КП “Вінницяоблводоканал”</t>
  </si>
  <si>
    <t>Придбання нового глибинного насосу для артезіанської свердловини та забезпечення безперебійного постачання питної води Тиврівському будинку інтернату геріатричного профілю</t>
  </si>
  <si>
    <t xml:space="preserve">Немирівському професійному ліцею на оновлення матеріально-технічної бази </t>
  </si>
  <si>
    <t xml:space="preserve">Теплицькому професійному ліцею на оновлення матеріально-технічної бази </t>
  </si>
  <si>
    <t>Обласному КЗ «Вінницький спеціалізований будинок дитини з ураженням центральної нервової системи та порушенням психіки на завершення капітального ремонту по будівництву спортивного майданчику, благоустрою території, ганків і вимощення корпусів</t>
  </si>
  <si>
    <t>Самгородоцькій  спеціальній ЗОШ Козятинського району для придбання татамі</t>
  </si>
  <si>
    <t>Нечуївська  спеціальна ЗОШ-інтернат Ямпільського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</si>
  <si>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Субвенція на придбання медикаментів та виробів медичного призначення для забезпечення швидкої медичної допомоги</t>
  </si>
  <si>
    <t>Вінницькому обласному лікарсько-фізкультурному диспансеру на придбання енцефалографа комп’ютерного</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</si>
  <si>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відповідної субвенції з державного бюджету</t>
  </si>
  <si>
    <t xml:space="preserve">Будівля КО спорткомплексу "Здоров'я" по вул. Якова Шепеля,23,  м. Вінниця - реконструкція </t>
  </si>
  <si>
    <t xml:space="preserve">Стадіон на території Вінницького гуманітарно-педагогічного коледжу, м.Вінниця  - будівництво </t>
  </si>
  <si>
    <t xml:space="preserve">Фасади та окремі деталі, оздоблення фасадів, реставрація покрівлі пам'ятки архітектури XVI-XIX ст. (охор. №973/1) "Садиба" Палац (1805 р.) по вул. Спортивна ,01, в смт Муровані Курилівці - реставрація </t>
  </si>
  <si>
    <t>Обласному академічному музично-драматичному театру ім. М. Садовського для виготовлення проектно-кошторисної документації на проведення капітального ремонту фасадної частини сходів</t>
  </si>
  <si>
    <t xml:space="preserve">ОКЗ  «Прибузькій спецшколі – інтернат» на  утеплення навчального корпусу </t>
  </si>
  <si>
    <t>Вінницькому обласному центру технічної творчості учнівської молоді на завершення капітального ремонту навчального корпусу  І і ІІ поверхів</t>
  </si>
  <si>
    <t>Охорона навколишнього природного середовища</t>
  </si>
  <si>
    <t>0718330</t>
  </si>
  <si>
    <t>0513 /240603</t>
  </si>
  <si>
    <t>Вінницькій обласній дитячій клінічній лікарні на закупівлю екранів оператора для відображення номера</t>
  </si>
  <si>
    <t>Мурованокуриловецька загальноосвітня санаторна школа-інтернат І-ІІІ ступенів для дітей із захворюваннями серцево-судинної системи Вінницької обласної  Ради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</si>
  <si>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0922      /070304</t>
  </si>
  <si>
    <t>Уточнений перелік об’єктів, видатки на які у 2018 році будуть проводитися за рахунок коштів бюджету розвитку</t>
  </si>
  <si>
    <t>Поповнення статутного капіталу ОКП "Автобаза обласної Ради"</t>
  </si>
  <si>
    <t>Ободівській спеціальній ЗОШ- інтернат Тростянецького району на  утеплення даху навчального корпусу</t>
  </si>
  <si>
    <t>Іванівській сеціальній ЗОШ – інтернат Калинівського району на утеплення фасаду школи</t>
  </si>
  <si>
    <t xml:space="preserve">Котюжанівському навчально-реабілітаційному центру Мурованокуриловецького району на утеплення спального корпусу </t>
  </si>
  <si>
    <t>Код програмної класифікації видатків та кредитування місцевих бюджетів1</t>
  </si>
  <si>
    <t>Код ТПКВКМБ /
ТКВКБМС2</t>
  </si>
  <si>
    <t>Придбання обладнання і предметів довгострокового користування КУ "Вінницький обласний центр цивільного захисту та матеріальних резервів"</t>
  </si>
  <si>
    <t>Вінницькій обласній дитячій клінічній лікарні на проведення капітального ремонту сходових клітин поліклініки</t>
  </si>
  <si>
    <t>Вінницькій обласній дитячій клінічній лікарні на капітальний ремонт електроживлення харчоблоку</t>
  </si>
  <si>
    <t>Вінницькій обласній дитячій клінічній лікарні на капітальний ремонт санвузлів в головному корпусі</t>
  </si>
  <si>
    <t>Вінницькому обласному навчально-методичному центру галузі культури, мистецтв та туризму на виготовлення проектно-кошторисної документації на капітальний ремонт приміщення центру (зовнішнє утеплення)</t>
  </si>
  <si>
    <t>Вінницькому обласному навчально-методичному центру галузі культури, мистецтв та туризму на придбання акустичного піаніно</t>
  </si>
  <si>
    <t>Вінницькій обласній бібліотеці для дітей І.Я.Франка на придбання сучасних спеціальних бібліотечних меблів</t>
  </si>
  <si>
    <t>Державному заповіднику Буша напридбання колекції авторських каартин різної тематики</t>
  </si>
  <si>
    <t>Підготовка кадрів вищими навчальними закладами I - II рівнів акредитації (коледжами, технікумами, училищами)</t>
  </si>
  <si>
    <t>0950 /070701</t>
  </si>
  <si>
    <t>Вінницькому обласному шкірно-венерологічному диспансеру для придбання принтерів</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</si>
  <si>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</si>
  <si>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0611090</t>
  </si>
  <si>
    <t>0960   /070401</t>
  </si>
  <si>
    <t>Надання позашкільної освіти позашкільними закладами освіти, заходи із позашкільної роботи з дітьми</t>
  </si>
  <si>
    <t>0930    /070501</t>
  </si>
  <si>
    <t xml:space="preserve">Підготовка  кадрів професійно-технічними закладами та іншими закладами освіти  </t>
  </si>
  <si>
    <t>0611120</t>
  </si>
  <si>
    <t>0941 /070601</t>
  </si>
  <si>
    <t xml:space="preserve">Підготовка кадрів вищими навчальними закладами І-ІІ рівнів акредитації (коледжами, технікумами, училищами) </t>
  </si>
  <si>
    <t>0611140</t>
  </si>
  <si>
    <t>0950            /070701</t>
  </si>
  <si>
    <t xml:space="preserve">Підвищення кваліфікації, перепідготовка кадрів  закладами післядипломної освіти </t>
  </si>
  <si>
    <t>0611160</t>
  </si>
  <si>
    <t xml:space="preserve">І поверх 6-ти поверхової будівлі зі створенням відділення екстреної медичної допомоги Вінницької обласної дитячої клінічної лікарні - реконструкція </t>
  </si>
  <si>
    <t>Серебрійський навчально-реабілітаційний центр Могилів-Подільського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</si>
  <si>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КЗ «Вінницька обласна клінічна дитяча інфекційна лікарня» на проект та встановлення пожежної сигналізації</t>
  </si>
  <si>
    <t xml:space="preserve">КЗ «Вінницький обласний клінічний Центр профілактики та боротьби зі СНІДом» на проект та встановлення пожежної сигналізації </t>
  </si>
  <si>
    <t xml:space="preserve">КЗ «Вінницький обласний клінічний Центр профілактики та боротьби зі СНІДом» на придбання пересувної лабораторії </t>
  </si>
  <si>
    <t>Маньковецькому обласному дитячому туберкульозному санаторію «Зелений гай» на придбання автомобіля</t>
  </si>
  <si>
    <t xml:space="preserve">Тульчинському обласному спеціалізованому будинку дитини для дітей з ураженням центральної нервової системи та порушенням психіки – початок реконструкції відділення реабілітації </t>
  </si>
  <si>
    <t xml:space="preserve">В/ч А0215 Командування ПС ЗСУ - спорудження пам’ятника загиблим під час участі в АТО, закупівля музичного обладнання та інструменту, належне утримання адміністративного корпусу, казарм та інших споруд, зміцнення матеріально-технічної бази </t>
  </si>
  <si>
    <t xml:space="preserve">Вінницькому зональному відділу військової служби правопорядку - поточний ремонт та облаштування приміщень </t>
  </si>
  <si>
    <t xml:space="preserve">Військово-медичному клінічному центру Центрального регіону - придбання медичного обладнання та матеріалів для проведення діагностики та лікування військовослужбовців, що брали участь в АТО  </t>
  </si>
  <si>
    <t>Вінницькому обласному молодіжному центру "Квадрат" на придбання меблів та обладнання</t>
  </si>
  <si>
    <t>Вінницькій обласній дитячій клінічній лікарні на проведення капітального ремонту кабінетів УЗД</t>
  </si>
  <si>
    <t>Вінницькому обласному шкірно-венерологічному диспансеру для придбання лічильників</t>
  </si>
  <si>
    <t>КУ «Авторемонтна база закладів охорони здоров’я» для придбання автобусу</t>
  </si>
  <si>
    <t>КУ «Авторемонтна база закладів охорони здоров’я» для придбання підйомників</t>
  </si>
  <si>
    <t>На проведення експертизи проектно-кошторисної документації капітального ремонту приміщення Вінницького обласного паталогоанатомічного бюро</t>
  </si>
  <si>
    <t>,</t>
  </si>
  <si>
    <t>Вінницькому коледжу культури і мистецтв ім. М.Д.Леонтовича для придбання цінного подарунку до 60-річчя закладу (Фортепіано)</t>
  </si>
  <si>
    <t>Вінницькому коледжу культури і мистецтв ім. М.Д.Леонтовича для придбання світлодіодних динамічних приладів для освітлення великої зали</t>
  </si>
  <si>
    <t>Реконструкція КНС по вул. Леніна, 2 в м. Тульчин, Вінницької області</t>
  </si>
  <si>
    <t>Капітальний ремонт покрівлі будівель Барського гуманітарно-педагогічного коледжу імені М.Грушевського за адресою Майдан М.Грушевського, 1 м.Бар;</t>
  </si>
  <si>
    <t>Придбання оптичного когерентного томографа для Вінницького обласного клінічного госпіталю ветеранів війни, вул. Пирогова, 109А, м.Вінниця</t>
  </si>
  <si>
    <t>Реконструкція корпусу №7 обласної лікарні імені Пирогова М.І. для розміщення нейрохірургічного відділення з рентген операційним блоком та відділенням гострих інсультів за адресою м.Вінниця вул. Пирогова, 46</t>
  </si>
  <si>
    <t>Реставрація з влаштуванням ліфта "Будинок організацій" 1936-1940 рр., памятка архітектури місцевого значення (охор. № 292-М) за адресою: вул.Соборна, 70 в м. Вінниця</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</si>
  <si>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</si>
  <si>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Багринівська АЗПСМ, 22300, Вінницька обл., Літинський р-н, с. Багринівці - будівництво</t>
  </si>
  <si>
    <t>Ситковецькій спеціальній ЗОШ – інтернат Немирівського р-ну на заміну покрівлі з утепленням</t>
  </si>
  <si>
    <t xml:space="preserve">Ситковецькій спеціальній ЗОШ – інтернат Немирівського р-ну на утеплення та облицювання фасаду спального корпусу </t>
  </si>
  <si>
    <t xml:space="preserve">Обласному Бюро судово-медичної експертизи на проект та встановлення протипожежної сигналізації </t>
  </si>
  <si>
    <t xml:space="preserve">Барському гуманітарно-педагогічному коледжу ім. М. Грушевського на  капітальний ремонт системи блиско-захисту та заземлення </t>
  </si>
  <si>
    <t>Внески до статутного капіталу суб'єктів господарювання</t>
  </si>
  <si>
    <t>0513 240603</t>
  </si>
  <si>
    <t>Ліквідація іншого забруднення навколишнього природного середовища</t>
  </si>
  <si>
    <t>Відділення анестезіології та інтесивної терапії Вінницької обласної дитячої лікарні по вул. Хмельницьке шосе, 108. м.Вінниця - реконструкція</t>
  </si>
  <si>
    <t>Придбання меблів в ігрову кімнату  для Жмеринського обласного центру соціально-психологічної реабілітації дітей</t>
  </si>
  <si>
    <t>Єдина комплексна програма розвитку галузі культури і духовного відродження у Вінницькій області на       роки</t>
  </si>
  <si>
    <t>1100000</t>
  </si>
  <si>
    <t>Управління фізичної культури і спорту ОДА</t>
  </si>
  <si>
    <t>1110000</t>
  </si>
  <si>
    <t>1115000</t>
  </si>
  <si>
    <t>Фізична культура і спорт</t>
  </si>
  <si>
    <t>1115010</t>
  </si>
  <si>
    <t>Проведення спортивної роботи в регіоні</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</si>
  <si>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</si>
  <si>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</si>
  <si>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виконання інвестиційних програм та проектів</t>
  </si>
  <si>
    <t>Субвенція з місцевого бюджету на розвиток автомобільних доріг загального користування</t>
  </si>
  <si>
    <t>Субвенція з місцевого бюджету на здійснення природоохоронних заходів</t>
  </si>
  <si>
    <t>Козятинському обласному центру матері та дитини на придбання кондиціонера</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</si>
  <si>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</si>
  <si>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0611060</t>
  </si>
  <si>
    <t>0910             /070303</t>
  </si>
  <si>
    <t xml:space="preserve">Забезпечення належних умов для виховання та розвитку дітей-сиріт і дітей, позбавлених батьківського піклування, в дитячих будинках </t>
  </si>
  <si>
    <t>0611070</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</si>
  <si>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</si>
  <si>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</si>
  <si>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</si>
  <si>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0490</t>
  </si>
  <si>
    <t>0470</t>
  </si>
  <si>
    <t>0133</t>
  </si>
  <si>
    <t>0990</t>
  </si>
  <si>
    <t>0810</t>
  </si>
  <si>
    <t>0180</t>
  </si>
  <si>
    <t>0421</t>
  </si>
  <si>
    <t>0540 /240604</t>
  </si>
  <si>
    <t xml:space="preserve">Самгородоцькій спеціальній ЗОШ – інтернат Козятинського р-ну на утеплення та покрівлю навчального та банно-прального корпусів </t>
  </si>
  <si>
    <t>Самгородоцькій спеціальній ЗОШ – інтернат Козятинського р-ну на утеплення фасаду</t>
  </si>
  <si>
    <t>0611110</t>
  </si>
  <si>
    <t>0117670</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</si>
  <si>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роки</t>
  </si>
  <si>
    <t>0421 /160904</t>
  </si>
  <si>
    <t xml:space="preserve">Проведення навчально-тренувальних зборів і змагань з неолімпійських видів спорту </t>
  </si>
  <si>
    <t>1115020</t>
  </si>
  <si>
    <t>Виконання інвестиційних проектів в рамках здійснення заходів щодо соціально-економічного розвитку окремих територій</t>
  </si>
  <si>
    <t>1115011</t>
  </si>
  <si>
    <t xml:space="preserve">Комунальній організації «Центр матеріально-технічного та інформаційного забезпечення закладів освіти» для придбання монітору рідкокристалічного </t>
  </si>
  <si>
    <t xml:space="preserve">Комунальній організації «Центр матеріально-технічного та інформаційного забезпечення закладів освіти» для придбання проекційного столика для проекту </t>
  </si>
  <si>
    <t>Вищому професійному училищу № 41 м. Тульчин – на капітальний ремонт та утеплення фасаду замінити на капітальний ремонт та утеплення даху громадсько-побутового корпусу та блоку теоретичних занять</t>
  </si>
  <si>
    <t xml:space="preserve">Вінницькому обласному комунальному гуманітарно-педагогічному коледжу на капітальний ремонт гуртожитку з утепленням </t>
  </si>
  <si>
    <t>Придбання службового автомобіля для медичних працівників Гажбіївської АЗПСМ</t>
  </si>
  <si>
    <t>На придбання спеціалізованого легкового автомобіля для новозбудованої абмбулаторії в с.Вербка Чечельницького району</t>
  </si>
  <si>
    <t>На придбання службового автотранспорту для амбулаторії в с.Борисівка Іллінецького району</t>
  </si>
  <si>
    <t>На придбання спеціалізованого легкового автомобіля для новозбудованої амбулаторії в с.Багринівці Літинського району</t>
  </si>
  <si>
    <t>На придбання спеціалізованого легкового автомобіля для медичних працівників Озаринецької АЗПСМ Могилів-Подільського району</t>
  </si>
  <si>
    <t>На придбання спеціалізованого легкового автомобіля для медичних працівників Бронницької АЗПСМ Могилів-Подільського району</t>
  </si>
  <si>
    <t>Капустянська амбулаторія загальної практики сімейної медицини Комунального підприємства "Тростянецький районний центр первинної медико - санітарної допомоги", по вулиці Мурованого, 2а, с. Капустяни, Тростянецького району, Вінницької області - будівництво</t>
  </si>
  <si>
    <t>Будівництво Бронницької АЗПСМ</t>
  </si>
  <si>
    <t>Існуючі приміщення по вул. Театральна, 15, м. Вінниця - реконструкція</t>
  </si>
  <si>
    <t xml:space="preserve">КУ «Територіальне медичне об’єднання «Вінницький обласний центр екстреної медичної допомоги та медицина катастроф»» на проект та встановлення протипожежної сигналізації </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</si>
  <si>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</si>
  <si>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0813110</t>
  </si>
  <si>
    <t>Заклади і заходи з питань дітей та їх соціального захисту</t>
  </si>
  <si>
    <t>0813111</t>
  </si>
  <si>
    <t>1040 /090700</t>
  </si>
  <si>
    <t xml:space="preserve">Військовій частині А1119 - покращення системи охорони та оборони технічної території,  забезпечення вибухо – пожежної безпеки, проведення поточного ремонту приміщень казарм та їдальні  </t>
  </si>
  <si>
    <t>Гніванському професійному ліцею ім. двічі Героя РС Р.Я.Малиновського на утеплення та реконструкцію дахів  їдальні та навчального корпусу</t>
  </si>
  <si>
    <t>Гніванському професійному ліцею ім. двічі Героя РС Р.Я.Малиновського на реконструкцію системи опалення актової та спортивної залів, їдальні зі встановленням електричних котлів</t>
  </si>
  <si>
    <t>Піщанська спеціальна ЗОШ-інтернат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</si>
  <si>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КЗ "Вінницький НВК:спеціальна загальноосвітня шк-інт. 1-III ступенів-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</si>
  <si>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КЗ "Кисляцький НВК: спеціальна загальноосвітня шк-інт.I-III ступенів Гайсинського р-ну -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</si>
  <si>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Проведення реконструкції та реставрації Центру нефрології та діалізу Вінницької обласної клінічної лікарні ім.М.І.Пирогова в м.Вінниці по вул.Пирогова, 46;</t>
  </si>
  <si>
    <t>Реконструкція I поверху 6-ти поверхової будівлі зі створенням відділення екстренної медичної допомоги Вінницької обласної дитячої лікарні</t>
  </si>
  <si>
    <t>1030 /091209</t>
  </si>
  <si>
    <t>Котюжанівський навчально-реабілітаційний центр Мурованокуриловецького району- закупівля дидактичних матеріалів,сучасних меблів, комп’ютерного обладнання, відповідного мультимедійного контенту для початкових класів згідно з переліком, затвердженим МОН(видатки розвитку)</t>
  </si>
  <si>
    <t xml:space="preserve">Для виготовлення проектно-кошторисної документації на капітальний ремонт огорожі Ладижинського дитячого будинку-інтернату в с.Заозерне по вул. Степова 1-а Тульчинського району </t>
  </si>
  <si>
    <t>Будівництво Білопільської АЗПСМ КП "Козятинський РМЦПМСД</t>
  </si>
  <si>
    <t>Будівництво Бабчинецької лікарської амбулаторії по вулиці Незалежності в с.Бабчинці, Чернівецького району Вінницької області</t>
  </si>
  <si>
    <t>Капітальний ремонт учбового корпусу №2 КЗ «Погребищенська ЗОШ №1 І-ІІІ ст. Погребищенської районної ради Вінницької області» по вул. Б. Хмельницького, 102 в м. Погребище Вінницької області</t>
  </si>
  <si>
    <t>Нове будівництво котельні для опалення приміщень КЗ «Борщагівська ЗОШ І-ІІІ ступенів Погребищенської районної ради Вінницької області» по вул. Іскри Кочубея, 8 в с. Борщагівка Погребищенського району Вінницької області</t>
  </si>
  <si>
    <t>0712120</t>
  </si>
  <si>
    <t>0740 /080704</t>
  </si>
  <si>
    <t>Капітальні видатки (кошти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</si>
  <si>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0617363</t>
  </si>
  <si>
    <t>Придбання комп’ютерної техніки для Калинівського технологічного технікуму, вул. Маяковського, 29, м. Калинівка</t>
  </si>
  <si>
    <t>Придбання медичного обладнання для Подільського регіонального центру онкології, вул. Хмельницьке шосе, 84, м. Вінниця</t>
  </si>
  <si>
    <t>Нове будівництво Вербської амбулаторії загальної практики сімейної медицини Комунального некомерційного підприємства "Чечельницький центр первинної медико-санітарної допомоги" Чечельницької районної ради, по вул.Соборна, 154а, с.Вербка Чечельницького району, Вінницької області</t>
  </si>
  <si>
    <t>Придбання фонтану для Вінницького обласного центру соціально-психологічної реабілітації дітей</t>
  </si>
  <si>
    <t>Обласному академічному музично-драматичному театру ім. Садовського на капітальний ремонт І-го поверху приміщення театру (заміна паркетної дошки)</t>
  </si>
  <si>
    <t xml:space="preserve">Обласному академічному музично-драматичному театру ім. М. Садовського на дольову участь в будівництві житла для працівників культури </t>
  </si>
  <si>
    <t>Обласному академічному театру ляльок на придбання автомобіля (мінівен)</t>
  </si>
  <si>
    <t>Обласній філармонії на придбання музичних інструментів</t>
  </si>
  <si>
    <t xml:space="preserve">Обласній філармонії на придбання відео-проектора </t>
  </si>
  <si>
    <t xml:space="preserve">Обласній філармонії на доукомплектування сценічного освітлення </t>
  </si>
  <si>
    <t>Обласний краєзнавчий музей на придбання платформи для монтажу виставок</t>
  </si>
  <si>
    <t xml:space="preserve">Браїлівському професійному ліцею на виготовлення проектно-кошторисної документації на встановлення котлів на альтернативних видах палива  </t>
  </si>
  <si>
    <t>Здійснення фізкультурно-спортивної та реабілітаційної роботи серед інвалідів</t>
  </si>
  <si>
    <t>1115021</t>
  </si>
  <si>
    <t>0810 /130104</t>
  </si>
  <si>
    <t>Утримання центрів з інвалідного спорту і реабілітаційних шкіл</t>
  </si>
  <si>
    <t>1115022</t>
  </si>
  <si>
    <t>0810 /130105</t>
  </si>
  <si>
    <t>Проведення навчально-тренувальних зборів і змагань та заходів з інвалідного спорту</t>
  </si>
  <si>
    <t>1115030</t>
  </si>
  <si>
    <t>Розвиток дитячо-юнацького та резервного спорту</t>
  </si>
  <si>
    <t>1115031</t>
  </si>
  <si>
    <t>0810 /130107</t>
  </si>
  <si>
    <t>Утримання та навчально-тренувальна робота комунальних дитячо-юнацьких спортивних шкіл</t>
  </si>
  <si>
    <t>1115032</t>
  </si>
  <si>
    <t>0810 /130203</t>
  </si>
  <si>
    <t xml:space="preserve">Фінансова підтримка дитячо-юнацьких спортивних шкіл  фізкультурно-спортивних товариств </t>
  </si>
  <si>
    <t>1115033</t>
  </si>
  <si>
    <t>0810 /130114</t>
  </si>
  <si>
    <t>Забезпечення підготовки спортсменів вищих категорій школами вищої спортивної майстерності</t>
  </si>
  <si>
    <t>1115040</t>
  </si>
  <si>
    <t>Підтримка і розвиток спортивної інфраструктури</t>
  </si>
  <si>
    <t>1115041</t>
  </si>
  <si>
    <t>0810 /130110</t>
  </si>
  <si>
    <t>Утримання та фінансова підтримка спортивних споруд</t>
  </si>
  <si>
    <t>1115042</t>
  </si>
  <si>
    <t>0810 /130205</t>
  </si>
  <si>
    <t xml:space="preserve">Комаргородському ВПУдля проведення реконструкції частини приміщення гуртожитку №1 по вул. Шляхова, 125, с. Ольгопіль, Чечельницького району, Вінницької області </t>
  </si>
  <si>
    <t xml:space="preserve">Хмільницькому професійному аграрному ліцею на реконструкцію системи опалення закладу </t>
  </si>
  <si>
    <t xml:space="preserve">Заболотнянському ВПУ – на встановлення енергозберігаючих вікон </t>
  </si>
  <si>
    <t>в тому числі :Програма підтримки діяльності національно-культурних товариств області та забезпечення міжконфесійної злагоди і духовно-морального розвитку на 2016-2020 роки</t>
  </si>
  <si>
    <t xml:space="preserve">Покращення матеріально-технічної бази системи екстреної медичної допомоги відповідно до сучасних вимог (забезпечення сучасним санітарним автотранспортом)                                     </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</si>
  <si>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</si>
  <si>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Інші заклади та заходи в галузі культури і мистецтва</t>
  </si>
  <si>
    <t>3800000</t>
  </si>
  <si>
    <t>Управління у справах національностей та релігій ОДА</t>
  </si>
  <si>
    <t>3810000</t>
  </si>
  <si>
    <t>3814000</t>
  </si>
  <si>
    <t>3814080</t>
  </si>
  <si>
    <t>Програма економічного і соціального розвитку Вінницької області на 2018 рік</t>
  </si>
  <si>
    <t>Програма розвитку міжнародного та транскордонного співробітництва на 2016-2020 роки</t>
  </si>
  <si>
    <t xml:space="preserve">Інша діяльність у сфері екології та охорони природних ресурсів </t>
  </si>
  <si>
    <t xml:space="preserve">Обласний конкурс розвитку територіальних громад області </t>
  </si>
  <si>
    <t>Проведення навчально-тренувальних зборів і змагань з олімпійських видів спорту</t>
  </si>
  <si>
    <t>1115012</t>
  </si>
  <si>
    <t>0810 /130106</t>
  </si>
  <si>
    <t>Вінницькій обласній дитячій клінічній лікарні на проведення капітального ремонту сходових клітин та холів головного корпусу поліклініки</t>
  </si>
  <si>
    <t>Управлінню захисту економіки у Вінницькій області Департаменту захисту економіки Національної поліції України - придбання спеціальної техніки та обладнання для оперативно-службової діяльності</t>
  </si>
  <si>
    <t>Староприлуцькій  спеціальній ЗОШ – інтернат Липовецького р-ну  на утеплення фасаду</t>
  </si>
  <si>
    <t>Обласне Бюро судово-медичної експертизи сигналізація</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</si>
  <si>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</si>
  <si>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1115062</t>
  </si>
  <si>
    <t>0810 /130112</t>
  </si>
  <si>
    <t>на покращення матеріально-технічної бази Вінницького обласного спеціалізованого клінічного диспансеру радіаційного захисту населення</t>
  </si>
  <si>
    <t>Могилів-Подільському медичному коледжу для покращення матеріально-технічної бази</t>
  </si>
  <si>
    <t>Северинівській лікарні відновного лікування для проведення капітального ремонту будинку садівника</t>
  </si>
  <si>
    <t>Северинівській лікарні відновного лікування для проведення робіт з благоустрою території</t>
  </si>
  <si>
    <t>КЗ «Вінницький обласний клінічний Центр профілактики та боротьби зі СНІДом» на придбання електорокардіографа</t>
  </si>
  <si>
    <t>КЗ «Козятинська обласна туберкульозна лікарня» на проведення реконструкції котельні</t>
  </si>
  <si>
    <t>Вінницькому медичному коледжу ім. акад. Д.К.Заболотного на придбання 2-х фантомів</t>
  </si>
  <si>
    <t>0813133</t>
  </si>
  <si>
    <t>1040</t>
  </si>
  <si>
    <t>Інші заходи та заклади молодіжної політики</t>
  </si>
  <si>
    <t>0813140</t>
  </si>
  <si>
    <t>1040 091108</t>
  </si>
  <si>
    <t>Оздоровлення та відпочинок дітей,(крім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</si>
  <si>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0813182</t>
  </si>
  <si>
    <t>Придбання медикаментів та реактивів для Вінницького обласного ендокринологічного диспансеру по вул. Мічуріна, 32, м. Вінниця</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</si>
  <si>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роки</t>
  </si>
  <si>
    <t>Вінницькому обласному спеціалізованому територіальному медичному об’єднанню «Фтизіатрія» на придбання бронхосокопу FB -18 V</t>
  </si>
  <si>
    <t>Реконструкція будівлі КЗ «Плисківська загальноосвітня школа І-ІІІ ступенів Погребищенської районної ради Вінницької області» по вул.. Центральна, 73 в с. Плисків Погребищенського району Вінницької області</t>
  </si>
  <si>
    <t xml:space="preserve">Реконструкція адміністративного будинку з добудовою та переобладнанням під музичну школу по вул.. Вишнева, 3 в м. Погребище Вінницької області </t>
  </si>
  <si>
    <t>Гніванському професійному ліцею на реконструкцію даху навчального корпусу</t>
  </si>
  <si>
    <t xml:space="preserve">ГУ Національної поліції у Вінницькій області - придбання автобуса на 20 місць, придбання двох автомобілів на 7 (сім) посадочних місць </t>
  </si>
  <si>
    <t>Лікарня відновного лікування «Северинівка» на проект та встановлення пожежної сигналізації</t>
  </si>
  <si>
    <t>Капітальний ремонт фасадів будівлі літера "Б" КЗ "Вінницький обласний центр соціально-психологічної реабілітації дітей" по вул 1905 року, 12 в м. Вінниця</t>
  </si>
  <si>
    <t>Реконструкція будівлі корпусу №15  Вінницької обласної клінічної лікарні ім.М.І.Пирогова в м.Вінниці по вул.Пирогова, 46;</t>
  </si>
  <si>
    <t>Реконструкція будівлі корпусу №14  Вінницької обласної клінічної лікарні ім.М.І.Пирогова в м.Вінниці по вул.Пирогова, 46;</t>
  </si>
  <si>
    <t>Капітальний ремонт адмінбудівлі по вул.Соборна, 15-а в м.Вінниці;</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</si>
  <si>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</si>
  <si>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Утримання та забезпечення діяльності центрів соціальних служб для сім'ї, дітей та молоді</t>
  </si>
  <si>
    <t>0813122</t>
  </si>
  <si>
    <t>1040 091104</t>
  </si>
  <si>
    <t>Заходи державної політики із забезпечення рівних прав та можливостей жінок та чоловіків</t>
  </si>
  <si>
    <t>0813123</t>
  </si>
  <si>
    <t>1040 /091104</t>
  </si>
  <si>
    <t>Заходи державної політики з питань сім'ї</t>
  </si>
  <si>
    <t>0813130</t>
  </si>
  <si>
    <t xml:space="preserve"> Вінницькій школі вищої спортивної майстерності на придбання спортивного човна для веслувального слалому С1 для МСУ Дячука Олексія</t>
  </si>
  <si>
    <t>Заболотнянському дитячому психоневрологічному санаторію ім. акад. Д.К.Заболотного на реконструкцію системи теплопостачання</t>
  </si>
  <si>
    <t>Тульчинському обласному спеціалізованому будинку дитини для дітей з ураженням центральної нервової системи та порушенням психіки для благоустрою території</t>
  </si>
  <si>
    <t>Субвенція на придбання витратних матеріалів для закладів охорони здоров'я та лікарських засобів для інгаляційної анестезії</t>
  </si>
  <si>
    <t xml:space="preserve">Покращення матеріально-технічної бази системи екстреної медичної допомоги відповідно до сучасних вимог (забезпечення сучасним санітаргним автотранспортом)                                     </t>
  </si>
  <si>
    <t>Очистка від мулових наносів р.Південний Буг в межах Стрижавської селищної ради - капітальний ремонт</t>
  </si>
  <si>
    <t xml:space="preserve">Могилів-Подільському обласному протитуберкульозному санаторію для дорослих на заміну вікон та на металопластикові </t>
  </si>
</sst>
</file>

<file path=xl/styles.xml><?xml version="1.0" encoding="utf-8"?>
<styleSheet xmlns="http://schemas.openxmlformats.org/spreadsheetml/2006/main">
  <numFmts count="7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0000"/>
    <numFmt numFmtId="209" formatCode="0.0"/>
    <numFmt numFmtId="210" formatCode="#,##0.000"/>
    <numFmt numFmtId="211" formatCode="#,##0.0000"/>
    <numFmt numFmtId="212" formatCode="#,##0.00000"/>
    <numFmt numFmtId="213" formatCode="#,##0.000000"/>
    <numFmt numFmtId="214" formatCode="#,##0.0"/>
    <numFmt numFmtId="215" formatCode="#,##0.0000000"/>
    <numFmt numFmtId="216" formatCode="0.000"/>
    <numFmt numFmtId="217" formatCode="0.0000"/>
    <numFmt numFmtId="218" formatCode="0.00000"/>
    <numFmt numFmtId="219" formatCode="[$-FC19]d\ mmmm\ yyyy\ &quot;г.&quot;"/>
    <numFmt numFmtId="220" formatCode="#,##0.00&quot;р.&quot;"/>
    <numFmt numFmtId="221" formatCode="* #,##0;* \-#,##0;* &quot;-&quot;;@"/>
    <numFmt numFmtId="222" formatCode="* #,##0.00;* \-#,##0.00;* &quot;-&quot;??;@"/>
    <numFmt numFmtId="223" formatCode="* _-#,##0&quot;р.&quot;;* \-#,##0&quot;р.&quot;;* _-&quot;-&quot;&quot;р.&quot;;@"/>
    <numFmt numFmtId="224" formatCode="* _-#,##0.00&quot;р.&quot;;* \-#,##0.00&quot;р.&quot;;* _-&quot;-&quot;??&quot;р.&quot;;@"/>
    <numFmt numFmtId="225" formatCode="#,##0.00000000"/>
    <numFmt numFmtId="226" formatCode="0.000000"/>
    <numFmt numFmtId="227" formatCode="#,##0.00000_ ;[Red]\-#,##0.00000\ "/>
  </numFmts>
  <fonts count="57">
    <font>
      <sz val="10"/>
      <name val="Arial"/>
      <family val="0"/>
    </font>
    <font>
      <u val="single"/>
      <sz val="10"/>
      <color indexed="12"/>
      <name val="Arial"/>
      <family val="2"/>
    </font>
    <font>
      <u val="single"/>
      <sz val="10"/>
      <color indexed="36"/>
      <name val="Arial"/>
      <family val="2"/>
    </font>
    <font>
      <sz val="10"/>
      <name val="Helv"/>
      <family val="0"/>
    </font>
    <font>
      <b/>
      <sz val="12"/>
      <name val="Times New Roman"/>
      <family val="1"/>
    </font>
    <font>
      <sz val="12"/>
      <name val="Times New Roman"/>
      <family val="1"/>
    </font>
    <font>
      <b/>
      <sz val="14"/>
      <name val="Times New Roman"/>
      <family val="1"/>
    </font>
    <font>
      <b/>
      <sz val="12"/>
      <name val="Arial"/>
      <family val="2"/>
    </font>
    <font>
      <b/>
      <sz val="10"/>
      <name val="Arial"/>
      <family val="2"/>
    </font>
    <font>
      <b/>
      <sz val="14"/>
      <name val="Arial"/>
      <family val="2"/>
    </font>
    <font>
      <sz val="14"/>
      <name val="Times New Roman"/>
      <family val="1"/>
    </font>
    <font>
      <sz val="10"/>
      <color indexed="8"/>
      <name val="Arial"/>
      <family val="2"/>
    </font>
    <font>
      <sz val="14"/>
      <name val="Times New Roman Cyr"/>
      <family val="0"/>
    </font>
    <font>
      <sz val="11"/>
      <name val="Times New Roman"/>
      <family val="1"/>
    </font>
    <font>
      <b/>
      <sz val="11"/>
      <name val="Times New Roman"/>
      <family val="1"/>
    </font>
    <font>
      <i/>
      <sz val="11"/>
      <name val="Times New Roman"/>
      <family val="1"/>
    </font>
    <font>
      <b/>
      <i/>
      <sz val="11"/>
      <name val="Times New Roman"/>
      <family val="1"/>
    </font>
    <font>
      <i/>
      <sz val="9"/>
      <name val="Times New Roman"/>
      <family val="1"/>
    </font>
    <font>
      <b/>
      <i/>
      <sz val="12"/>
      <name val="Times New Roman"/>
      <family val="1"/>
    </font>
    <font>
      <i/>
      <sz val="10"/>
      <name val="Times New Roman"/>
      <family val="1"/>
    </font>
    <font>
      <i/>
      <sz val="12"/>
      <name val="Times New Roman"/>
      <family val="1"/>
    </font>
    <font>
      <vertAlign val="superscript"/>
      <sz val="12"/>
      <name val="Times New Roman"/>
      <family val="1"/>
    </font>
    <font>
      <vertAlign val="superscript"/>
      <sz val="11"/>
      <name val="Times New Roman"/>
      <family val="1"/>
    </font>
    <font>
      <b/>
      <i/>
      <sz val="9"/>
      <name val="Times New Roman"/>
      <family val="1"/>
    </font>
    <font>
      <b/>
      <sz val="13"/>
      <name val="Times New Roman"/>
      <family val="1"/>
    </font>
    <font>
      <sz val="10"/>
      <name val="Times New Roman"/>
      <family val="1"/>
    </font>
    <font>
      <b/>
      <sz val="11"/>
      <name val="Arial"/>
      <family val="2"/>
    </font>
    <font>
      <sz val="11"/>
      <name val="Arial"/>
      <family val="2"/>
    </font>
    <font>
      <b/>
      <i/>
      <sz val="12"/>
      <name val="Arial"/>
      <family val="2"/>
    </font>
    <font>
      <i/>
      <sz val="10"/>
      <name val="Arial"/>
      <family val="2"/>
    </font>
    <font>
      <i/>
      <sz val="11"/>
      <name val="Arial"/>
      <family val="2"/>
    </font>
    <font>
      <b/>
      <sz val="10"/>
      <name val="Times New Roman"/>
      <family val="1"/>
    </font>
    <font>
      <b/>
      <sz val="12"/>
      <color indexed="9"/>
      <name val="Times New Roman"/>
      <family val="1"/>
    </font>
    <font>
      <b/>
      <i/>
      <sz val="11"/>
      <color indexed="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56"/>
      <name val="Cambria"/>
      <family val="2"/>
    </font>
    <font>
      <sz val="10"/>
      <name val="Arial Cyr"/>
      <family val="0"/>
    </font>
    <font>
      <sz val="10"/>
      <name val="Courier New"/>
      <family val="3"/>
    </font>
    <font>
      <sz val="11"/>
      <color indexed="8"/>
      <name val="Times New Roman"/>
      <family val="1"/>
    </font>
    <font>
      <i/>
      <sz val="11"/>
      <color indexed="10"/>
      <name val="Times New Roman"/>
      <family val="1"/>
    </font>
    <font>
      <b/>
      <sz val="15"/>
      <color indexed="54"/>
      <name val="Calibri"/>
      <family val="2"/>
    </font>
    <font>
      <b/>
      <sz val="13"/>
      <color indexed="54"/>
      <name val="Calibri"/>
      <family val="2"/>
    </font>
    <font>
      <b/>
      <sz val="11"/>
      <color indexed="54"/>
      <name val="Calibri"/>
      <family val="2"/>
    </font>
    <font>
      <sz val="18"/>
      <color indexed="54"/>
      <name val="Calibri Light"/>
      <family val="2"/>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6" fillId="16"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49" fillId="0" borderId="0">
      <alignment/>
      <protection/>
    </xf>
    <xf numFmtId="0" fontId="36" fillId="18"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18" borderId="0" applyNumberFormat="0" applyBorder="0" applyAlignment="0" applyProtection="0"/>
    <xf numFmtId="0" fontId="36" fillId="20" borderId="0" applyNumberFormat="0" applyBorder="0" applyAlignment="0" applyProtection="0"/>
    <xf numFmtId="0" fontId="36" fillId="22" borderId="0" applyNumberFormat="0" applyBorder="0" applyAlignment="0" applyProtection="0"/>
    <xf numFmtId="0" fontId="37" fillId="5" borderId="1" applyNumberFormat="0" applyAlignment="0" applyProtection="0"/>
    <xf numFmtId="0" fontId="37" fillId="5" borderId="1" applyNumberFormat="0" applyAlignment="0" applyProtection="0"/>
    <xf numFmtId="0" fontId="38" fillId="13" borderId="2" applyNumberFormat="0" applyAlignment="0" applyProtection="0"/>
    <xf numFmtId="0" fontId="38" fillId="13" borderId="2" applyNumberFormat="0" applyAlignment="0" applyProtection="0"/>
    <xf numFmtId="0" fontId="39" fillId="13" borderId="1" applyNumberFormat="0" applyAlignment="0" applyProtection="0"/>
    <xf numFmtId="0" fontId="39" fillId="13"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49" fillId="0" borderId="0">
      <alignment/>
      <protection/>
    </xf>
    <xf numFmtId="0" fontId="50" fillId="0" borderId="0">
      <alignment/>
      <protection/>
    </xf>
    <xf numFmtId="0" fontId="49" fillId="0" borderId="0">
      <alignment/>
      <protection/>
    </xf>
    <xf numFmtId="0" fontId="49"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1" fillId="0" borderId="0">
      <alignment vertical="top"/>
      <protection/>
    </xf>
    <xf numFmtId="0" fontId="40" fillId="0" borderId="6" applyNumberFormat="0" applyFill="0" applyAlignment="0" applyProtection="0"/>
    <xf numFmtId="0" fontId="40" fillId="0" borderId="7" applyNumberFormat="0" applyFill="0" applyAlignment="0" applyProtection="0"/>
    <xf numFmtId="0" fontId="41" fillId="24" borderId="8" applyNumberFormat="0" applyAlignment="0" applyProtection="0"/>
    <xf numFmtId="0" fontId="41" fillId="24" borderId="8" applyNumberFormat="0" applyAlignment="0" applyProtection="0"/>
    <xf numFmtId="0" fontId="56" fillId="0" borderId="0" applyNumberFormat="0" applyFill="0" applyBorder="0" applyAlignment="0" applyProtection="0"/>
    <xf numFmtId="0" fontId="48" fillId="0" borderId="0" applyNumberFormat="0" applyFill="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9" fillId="0" borderId="0">
      <alignment/>
      <protection/>
    </xf>
    <xf numFmtId="0" fontId="25" fillId="0" borderId="0">
      <alignment/>
      <protection/>
    </xf>
    <xf numFmtId="0" fontId="2"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9" borderId="9" applyNumberFormat="0" applyFont="0" applyAlignment="0" applyProtection="0"/>
    <xf numFmtId="0" fontId="35" fillId="9"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5" fillId="0" borderId="10" applyNumberFormat="0" applyFill="0" applyAlignment="0" applyProtection="0"/>
    <xf numFmtId="0" fontId="3"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7" fillId="6" borderId="0" applyNumberFormat="0" applyBorder="0" applyAlignment="0" applyProtection="0"/>
    <xf numFmtId="0" fontId="47" fillId="6" borderId="0" applyNumberFormat="0" applyBorder="0" applyAlignment="0" applyProtection="0"/>
  </cellStyleXfs>
  <cellXfs count="205">
    <xf numFmtId="0" fontId="0" fillId="0" borderId="0" xfId="0" applyAlignment="1">
      <alignment/>
    </xf>
    <xf numFmtId="0" fontId="7" fillId="0" borderId="0" xfId="0" applyFont="1" applyFill="1" applyAlignment="1">
      <alignment horizontal="center" vertical="center" wrapText="1"/>
    </xf>
    <xf numFmtId="0" fontId="0" fillId="0" borderId="0" xfId="0" applyFont="1" applyFill="1" applyAlignment="1">
      <alignment/>
    </xf>
    <xf numFmtId="0" fontId="0" fillId="0" borderId="11" xfId="0" applyFont="1" applyFill="1" applyBorder="1" applyAlignment="1">
      <alignment horizontal="center"/>
    </xf>
    <xf numFmtId="0" fontId="5" fillId="0" borderId="11" xfId="0" applyFont="1" applyFill="1" applyBorder="1" applyAlignment="1">
      <alignment horizontal="center"/>
    </xf>
    <xf numFmtId="0" fontId="7"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212" fontId="0" fillId="0" borderId="0" xfId="0" applyNumberFormat="1" applyFont="1" applyFill="1" applyAlignment="1">
      <alignment horizontal="center" vertical="center" wrapText="1"/>
    </xf>
    <xf numFmtId="0" fontId="9" fillId="0" borderId="0" xfId="0" applyFont="1" applyFill="1" applyAlignment="1">
      <alignment/>
    </xf>
    <xf numFmtId="0" fontId="6" fillId="0" borderId="0" xfId="0" applyFont="1" applyFill="1" applyAlignment="1">
      <alignment/>
    </xf>
    <xf numFmtId="0" fontId="6" fillId="0" borderId="0" xfId="0" applyFont="1" applyFill="1" applyBorder="1" applyAlignment="1">
      <alignment wrapText="1"/>
    </xf>
    <xf numFmtId="0" fontId="4" fillId="0" borderId="12"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wrapText="1"/>
    </xf>
    <xf numFmtId="0" fontId="14" fillId="0" borderId="12"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0" fontId="15" fillId="0" borderId="12" xfId="0" applyFont="1" applyFill="1" applyBorder="1" applyAlignment="1">
      <alignment vertical="center" wrapText="1"/>
    </xf>
    <xf numFmtId="0" fontId="15" fillId="0" borderId="12" xfId="0" applyFont="1" applyFill="1" applyBorder="1" applyAlignment="1">
      <alignment horizontal="center" vertical="center" wrapText="1"/>
    </xf>
    <xf numFmtId="0" fontId="17" fillId="0" borderId="12" xfId="0" applyFont="1" applyFill="1" applyBorder="1" applyAlignment="1">
      <alignment vertical="center" wrapText="1"/>
    </xf>
    <xf numFmtId="0" fontId="14" fillId="0" borderId="12" xfId="0" applyFont="1" applyFill="1" applyBorder="1" applyAlignment="1">
      <alignment wrapText="1"/>
    </xf>
    <xf numFmtId="0" fontId="13" fillId="0" borderId="12" xfId="0" applyFont="1" applyFill="1" applyBorder="1" applyAlignment="1">
      <alignment horizontal="left" vertical="center" wrapText="1"/>
    </xf>
    <xf numFmtId="49" fontId="19" fillId="0" borderId="12"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5" fillId="0" borderId="12" xfId="0" applyFont="1" applyFill="1" applyBorder="1" applyAlignment="1">
      <alignment wrapText="1"/>
    </xf>
    <xf numFmtId="49" fontId="13" fillId="0" borderId="12" xfId="0" applyNumberFormat="1" applyFont="1" applyFill="1" applyBorder="1" applyAlignment="1">
      <alignment horizontal="center" wrapText="1"/>
    </xf>
    <xf numFmtId="0" fontId="15" fillId="0" borderId="12" xfId="0" applyFont="1" applyFill="1" applyBorder="1" applyAlignment="1">
      <alignment wrapText="1"/>
    </xf>
    <xf numFmtId="0" fontId="23" fillId="0" borderId="12" xfId="0" applyFont="1" applyFill="1" applyBorder="1" applyAlignment="1">
      <alignment horizontal="center" vertical="center" wrapText="1"/>
    </xf>
    <xf numFmtId="49" fontId="13" fillId="0" borderId="12"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vertical="center" wrapText="1"/>
      <protection/>
    </xf>
    <xf numFmtId="216" fontId="5" fillId="0" borderId="12" xfId="0" applyNumberFormat="1" applyFont="1" applyFill="1" applyBorder="1" applyAlignment="1">
      <alignment horizontal="center" vertical="center" wrapText="1"/>
    </xf>
    <xf numFmtId="216" fontId="7" fillId="0" borderId="12" xfId="0" applyNumberFormat="1" applyFont="1" applyFill="1" applyBorder="1" applyAlignment="1">
      <alignment horizontal="center" vertical="center" wrapText="1"/>
    </xf>
    <xf numFmtId="0" fontId="29" fillId="0" borderId="0" xfId="0" applyFont="1" applyFill="1" applyAlignment="1">
      <alignment/>
    </xf>
    <xf numFmtId="49" fontId="13" fillId="0" borderId="12" xfId="0" applyNumberFormat="1" applyFont="1" applyFill="1" applyBorder="1" applyAlignment="1">
      <alignment vertical="center" wrapText="1"/>
    </xf>
    <xf numFmtId="0" fontId="16" fillId="0" borderId="12" xfId="0" applyFont="1" applyFill="1" applyBorder="1" applyAlignment="1">
      <alignment horizontal="center" vertical="center" wrapText="1"/>
    </xf>
    <xf numFmtId="210" fontId="9" fillId="0" borderId="12" xfId="0" applyNumberFormat="1" applyFont="1" applyFill="1" applyBorder="1" applyAlignment="1">
      <alignment horizontal="center" vertical="center" wrapText="1"/>
    </xf>
    <xf numFmtId="210" fontId="4" fillId="0" borderId="12" xfId="0" applyNumberFormat="1" applyFont="1" applyFill="1" applyBorder="1" applyAlignment="1">
      <alignment horizontal="center" vertical="center" wrapText="1"/>
    </xf>
    <xf numFmtId="210" fontId="16"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11" fontId="15" fillId="0" borderId="12" xfId="0" applyNumberFormat="1" applyFont="1" applyFill="1" applyBorder="1" applyAlignment="1">
      <alignment vertical="center" wrapText="1"/>
    </xf>
    <xf numFmtId="0" fontId="15" fillId="0" borderId="12" xfId="0" applyFont="1" applyFill="1" applyBorder="1" applyAlignment="1">
      <alignment/>
    </xf>
    <xf numFmtId="0" fontId="13" fillId="0" borderId="12"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3" fillId="0" borderId="12" xfId="0" applyFont="1" applyFill="1" applyBorder="1" applyAlignment="1">
      <alignment/>
    </xf>
    <xf numFmtId="0" fontId="13" fillId="0" borderId="12" xfId="0" applyFont="1" applyFill="1" applyBorder="1" applyAlignment="1">
      <alignment vertical="center"/>
    </xf>
    <xf numFmtId="0" fontId="20" fillId="0" borderId="12" xfId="0" applyFont="1" applyFill="1" applyBorder="1" applyAlignment="1">
      <alignment/>
    </xf>
    <xf numFmtId="210" fontId="14" fillId="0" borderId="12" xfId="0" applyNumberFormat="1" applyFont="1" applyFill="1" applyBorder="1" applyAlignment="1">
      <alignment horizontal="center" vertical="center" wrapText="1"/>
    </xf>
    <xf numFmtId="0" fontId="20" fillId="0" borderId="12" xfId="0" applyFont="1" applyFill="1" applyBorder="1" applyAlignment="1">
      <alignment wrapText="1"/>
    </xf>
    <xf numFmtId="0" fontId="20" fillId="0" borderId="12" xfId="0" applyFont="1" applyFill="1" applyBorder="1" applyAlignment="1">
      <alignment/>
    </xf>
    <xf numFmtId="49" fontId="15" fillId="0" borderId="12" xfId="0" applyNumberFormat="1" applyFont="1" applyFill="1" applyBorder="1" applyAlignment="1">
      <alignment vertical="center" wrapText="1"/>
    </xf>
    <xf numFmtId="216" fontId="18" fillId="0" borderId="12" xfId="0" applyNumberFormat="1" applyFont="1" applyFill="1" applyBorder="1" applyAlignment="1">
      <alignment horizontal="center" vertical="center" wrapText="1"/>
    </xf>
    <xf numFmtId="216" fontId="20" fillId="0" borderId="12" xfId="0" applyNumberFormat="1" applyFont="1" applyFill="1" applyBorder="1" applyAlignment="1">
      <alignment horizontal="center" vertical="center" wrapText="1"/>
    </xf>
    <xf numFmtId="216" fontId="4" fillId="0" borderId="12" xfId="0" applyNumberFormat="1" applyFont="1" applyFill="1" applyBorder="1" applyAlignment="1">
      <alignment horizontal="center" vertical="center" wrapText="1"/>
    </xf>
    <xf numFmtId="49" fontId="5" fillId="0" borderId="12" xfId="0" applyNumberFormat="1" applyFont="1" applyFill="1" applyBorder="1" applyAlignment="1">
      <alignment vertical="center" wrapText="1"/>
    </xf>
    <xf numFmtId="216" fontId="15" fillId="0" borderId="12" xfId="0" applyNumberFormat="1" applyFont="1" applyFill="1" applyBorder="1" applyAlignment="1">
      <alignment horizontal="center" vertical="center" wrapText="1"/>
    </xf>
    <xf numFmtId="218" fontId="20" fillId="0" borderId="12" xfId="0" applyNumberFormat="1" applyFont="1" applyFill="1" applyBorder="1" applyAlignment="1">
      <alignment horizontal="center" vertical="center" wrapText="1"/>
    </xf>
    <xf numFmtId="218" fontId="5"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216" fontId="13" fillId="0" borderId="12" xfId="0" applyNumberFormat="1" applyFont="1" applyFill="1" applyBorder="1" applyAlignment="1">
      <alignment horizontal="center" vertical="center" wrapText="1"/>
    </xf>
    <xf numFmtId="49" fontId="14" fillId="0" borderId="12" xfId="0" applyNumberFormat="1" applyFont="1" applyFill="1" applyBorder="1" applyAlignment="1" applyProtection="1">
      <alignment horizontal="center" vertical="center" wrapText="1"/>
      <protection/>
    </xf>
    <xf numFmtId="216" fontId="14" fillId="0" borderId="12" xfId="0" applyNumberFormat="1" applyFont="1" applyFill="1" applyBorder="1" applyAlignment="1">
      <alignment horizontal="center" vertical="center" wrapText="1"/>
    </xf>
    <xf numFmtId="210" fontId="20" fillId="0" borderId="12" xfId="96" applyNumberFormat="1" applyFont="1" applyFill="1" applyBorder="1" applyAlignment="1">
      <alignment horizontal="center" vertical="center"/>
      <protection/>
    </xf>
    <xf numFmtId="212" fontId="7" fillId="0" borderId="12" xfId="0" applyNumberFormat="1" applyFont="1" applyFill="1" applyBorder="1" applyAlignment="1">
      <alignment horizontal="center" vertical="center" wrapText="1"/>
    </xf>
    <xf numFmtId="0" fontId="13" fillId="0" borderId="12" xfId="0" applyFont="1" applyFill="1" applyBorder="1" applyAlignment="1">
      <alignment vertical="top" wrapText="1"/>
    </xf>
    <xf numFmtId="11" fontId="15" fillId="0" borderId="12" xfId="0" applyNumberFormat="1" applyFont="1" applyFill="1" applyBorder="1" applyAlignment="1">
      <alignment horizontal="left" vertical="center" wrapText="1"/>
    </xf>
    <xf numFmtId="11" fontId="15" fillId="0" borderId="12" xfId="0" applyNumberFormat="1" applyFont="1" applyFill="1" applyBorder="1" applyAlignment="1">
      <alignment horizontal="left" vertical="center"/>
    </xf>
    <xf numFmtId="0" fontId="15" fillId="0" borderId="12" xfId="0" applyFont="1" applyFill="1" applyBorder="1" applyAlignment="1">
      <alignment vertical="top" wrapText="1"/>
    </xf>
    <xf numFmtId="49" fontId="13" fillId="0" borderId="12" xfId="0" applyNumberFormat="1" applyFont="1" applyFill="1" applyBorder="1" applyAlignment="1">
      <alignment horizontal="left" vertical="center" wrapText="1"/>
    </xf>
    <xf numFmtId="212" fontId="25" fillId="0" borderId="12" xfId="96" applyNumberFormat="1" applyFont="1" applyFill="1" applyBorder="1" applyAlignment="1">
      <alignment horizontal="center" vertical="center"/>
      <protection/>
    </xf>
    <xf numFmtId="210" fontId="25" fillId="0" borderId="12" xfId="96" applyNumberFormat="1" applyFont="1" applyFill="1" applyBorder="1" applyAlignment="1">
      <alignment horizontal="center" vertical="center"/>
      <protection/>
    </xf>
    <xf numFmtId="210" fontId="19" fillId="0" borderId="12" xfId="96" applyNumberFormat="1" applyFont="1" applyFill="1" applyBorder="1" applyAlignment="1">
      <alignment horizontal="center" vertical="center"/>
      <protection/>
    </xf>
    <xf numFmtId="210" fontId="6" fillId="0" borderId="12" xfId="0" applyNumberFormat="1" applyFont="1" applyFill="1" applyBorder="1" applyAlignment="1">
      <alignment horizontal="center" vertical="center" wrapText="1"/>
    </xf>
    <xf numFmtId="0" fontId="3" fillId="0" borderId="0" xfId="0" applyFont="1" applyFill="1" applyAlignment="1">
      <alignment/>
    </xf>
    <xf numFmtId="210" fontId="32" fillId="0" borderId="12" xfId="0" applyNumberFormat="1" applyFont="1" applyFill="1" applyBorder="1" applyAlignment="1">
      <alignment horizontal="center" vertical="center" wrapText="1"/>
    </xf>
    <xf numFmtId="210" fontId="33" fillId="0" borderId="12" xfId="0" applyNumberFormat="1" applyFont="1" applyFill="1" applyBorder="1" applyAlignment="1">
      <alignment horizontal="center" vertical="center" wrapText="1"/>
    </xf>
    <xf numFmtId="0" fontId="0" fillId="0" borderId="0" xfId="0" applyFont="1" applyFill="1" applyAlignment="1">
      <alignment horizontal="center"/>
    </xf>
    <xf numFmtId="216" fontId="15" fillId="0" borderId="12" xfId="0" applyNumberFormat="1" applyFont="1" applyFill="1" applyBorder="1" applyAlignment="1">
      <alignment horizontal="center" wrapText="1"/>
    </xf>
    <xf numFmtId="0" fontId="13" fillId="0" borderId="13" xfId="0" applyFont="1" applyFill="1" applyBorder="1" applyAlignment="1">
      <alignment horizontal="left" wrapText="1"/>
    </xf>
    <xf numFmtId="210" fontId="15" fillId="0" borderId="12" xfId="0" applyNumberFormat="1" applyFont="1" applyFill="1" applyBorder="1" applyAlignment="1">
      <alignment horizontal="center" vertical="center" wrapText="1"/>
    </xf>
    <xf numFmtId="0" fontId="8" fillId="0" borderId="0" xfId="0" applyFont="1" applyFill="1" applyAlignment="1">
      <alignment/>
    </xf>
    <xf numFmtId="49" fontId="15" fillId="0" borderId="14" xfId="0" applyNumberFormat="1" applyFont="1" applyFill="1" applyBorder="1" applyAlignment="1">
      <alignment horizontal="left" vertical="center" wrapText="1"/>
    </xf>
    <xf numFmtId="49" fontId="15" fillId="0" borderId="15"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49" fontId="15" fillId="0" borderId="12" xfId="0" applyNumberFormat="1" applyFont="1" applyFill="1" applyBorder="1" applyAlignment="1">
      <alignment horizontal="left" vertical="center" wrapText="1"/>
    </xf>
    <xf numFmtId="210" fontId="7" fillId="0" borderId="14" xfId="0" applyNumberFormat="1" applyFont="1" applyFill="1" applyBorder="1" applyAlignment="1">
      <alignment horizontal="center" vertical="center" wrapText="1"/>
    </xf>
    <xf numFmtId="49" fontId="13" fillId="0" borderId="12" xfId="0" applyNumberFormat="1" applyFont="1" applyFill="1" applyBorder="1" applyAlignment="1">
      <alignment vertical="center"/>
    </xf>
    <xf numFmtId="49" fontId="13" fillId="0" borderId="12" xfId="0" applyNumberFormat="1" applyFont="1" applyFill="1" applyBorder="1" applyAlignment="1">
      <alignment horizontal="left" vertical="center"/>
    </xf>
    <xf numFmtId="0" fontId="15" fillId="0" borderId="12" xfId="0" applyFont="1" applyFill="1" applyBorder="1" applyAlignment="1">
      <alignment horizontal="center" wrapText="1"/>
    </xf>
    <xf numFmtId="0" fontId="20" fillId="0" borderId="12" xfId="0" applyFont="1" applyFill="1" applyBorder="1" applyAlignment="1">
      <alignment horizontal="left"/>
    </xf>
    <xf numFmtId="49" fontId="15" fillId="0" borderId="14" xfId="0" applyNumberFormat="1" applyFont="1" applyFill="1" applyBorder="1" applyAlignment="1">
      <alignment vertical="center" wrapText="1"/>
    </xf>
    <xf numFmtId="49" fontId="15" fillId="0" borderId="15"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218" fontId="7" fillId="0" borderId="12" xfId="0" applyNumberFormat="1" applyFont="1" applyFill="1" applyBorder="1" applyAlignment="1">
      <alignment horizontal="center" vertical="center" wrapText="1"/>
    </xf>
    <xf numFmtId="210" fontId="5" fillId="0" borderId="12" xfId="96" applyNumberFormat="1" applyFont="1" applyFill="1" applyBorder="1" applyAlignment="1">
      <alignment horizontal="center" vertical="center"/>
      <protection/>
    </xf>
    <xf numFmtId="49" fontId="13" fillId="0" borderId="12" xfId="0" applyNumberFormat="1" applyFont="1" applyFill="1" applyBorder="1" applyAlignment="1">
      <alignment vertical="center" wrapText="1"/>
    </xf>
    <xf numFmtId="216" fontId="26" fillId="0" borderId="12" xfId="0" applyNumberFormat="1" applyFont="1" applyFill="1" applyBorder="1" applyAlignment="1">
      <alignment horizontal="center" vertical="center" wrapText="1"/>
    </xf>
    <xf numFmtId="2" fontId="0" fillId="0" borderId="0" xfId="0" applyNumberFormat="1" applyFont="1" applyFill="1" applyAlignment="1">
      <alignment/>
    </xf>
    <xf numFmtId="11" fontId="15" fillId="0" borderId="12" xfId="0" applyNumberFormat="1" applyFont="1" applyFill="1" applyBorder="1" applyAlignment="1">
      <alignment vertical="center"/>
    </xf>
    <xf numFmtId="0" fontId="29" fillId="0" borderId="0" xfId="0" applyFont="1" applyFill="1" applyAlignment="1">
      <alignment horizontal="center"/>
    </xf>
    <xf numFmtId="0" fontId="5" fillId="0" borderId="12" xfId="0" applyFont="1" applyFill="1" applyBorder="1" applyAlignment="1">
      <alignment vertical="top" wrapText="1"/>
    </xf>
    <xf numFmtId="0" fontId="14" fillId="0" borderId="12" xfId="0" applyFont="1" applyFill="1" applyBorder="1" applyAlignment="1">
      <alignment vertical="top" wrapText="1"/>
    </xf>
    <xf numFmtId="210" fontId="20" fillId="0" borderId="12" xfId="96" applyNumberFormat="1" applyFont="1" applyFill="1" applyBorder="1" applyAlignment="1">
      <alignment vertical="center"/>
      <protection/>
    </xf>
    <xf numFmtId="0" fontId="0" fillId="0" borderId="0" xfId="0" applyFont="1" applyFill="1" applyAlignment="1">
      <alignment horizontal="left"/>
    </xf>
    <xf numFmtId="227" fontId="20" fillId="0" borderId="12" xfId="0" applyNumberFormat="1" applyFont="1" applyFill="1" applyBorder="1" applyAlignment="1">
      <alignment horizontal="center" vertical="center" wrapText="1"/>
    </xf>
    <xf numFmtId="210" fontId="31" fillId="0" borderId="12" xfId="96" applyNumberFormat="1" applyFont="1" applyFill="1" applyBorder="1" applyAlignment="1">
      <alignment horizontal="center" vertical="center"/>
      <protection/>
    </xf>
    <xf numFmtId="0" fontId="13" fillId="0" borderId="16" xfId="0" applyFont="1" applyFill="1" applyBorder="1" applyAlignment="1">
      <alignment vertical="top" wrapText="1"/>
    </xf>
    <xf numFmtId="212" fontId="5" fillId="0" borderId="12" xfId="96" applyNumberFormat="1" applyFont="1" applyFill="1" applyBorder="1" applyAlignment="1">
      <alignment horizontal="center" vertical="center"/>
      <protection/>
    </xf>
    <xf numFmtId="212" fontId="20" fillId="0" borderId="12" xfId="96" applyNumberFormat="1" applyFont="1" applyFill="1" applyBorder="1" applyAlignment="1">
      <alignment horizontal="center" vertical="center"/>
      <protection/>
    </xf>
    <xf numFmtId="210" fontId="34" fillId="0" borderId="17" xfId="96" applyNumberFormat="1" applyFont="1" applyFill="1" applyBorder="1" applyAlignment="1">
      <alignment horizontal="center" vertical="center"/>
      <protection/>
    </xf>
    <xf numFmtId="218" fontId="0" fillId="0" borderId="0" xfId="0" applyNumberFormat="1" applyFont="1" applyFill="1" applyAlignment="1">
      <alignment/>
    </xf>
    <xf numFmtId="212" fontId="4" fillId="0" borderId="12" xfId="0" applyNumberFormat="1" applyFont="1" applyFill="1" applyBorder="1" applyAlignment="1">
      <alignment horizontal="center" vertical="center" wrapText="1"/>
    </xf>
    <xf numFmtId="212" fontId="16" fillId="0" borderId="12" xfId="0" applyNumberFormat="1" applyFont="1" applyFill="1" applyBorder="1" applyAlignment="1">
      <alignment horizontal="center" vertical="center" wrapText="1"/>
    </xf>
    <xf numFmtId="217" fontId="20" fillId="0" borderId="12" xfId="0" applyNumberFormat="1" applyFont="1" applyFill="1" applyBorder="1" applyAlignment="1">
      <alignment horizontal="center" vertical="center" wrapText="1"/>
    </xf>
    <xf numFmtId="49" fontId="16" fillId="0" borderId="12" xfId="0" applyNumberFormat="1" applyFont="1" applyFill="1" applyBorder="1" applyAlignment="1">
      <alignment horizontal="left" vertical="center" wrapText="1"/>
    </xf>
    <xf numFmtId="216" fontId="32"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216" fontId="27" fillId="0" borderId="12" xfId="0" applyNumberFormat="1" applyFont="1" applyFill="1" applyBorder="1" applyAlignment="1">
      <alignment horizontal="center" vertical="center" wrapText="1"/>
    </xf>
    <xf numFmtId="209" fontId="13" fillId="0" borderId="12" xfId="0" applyNumberFormat="1" applyFont="1" applyFill="1" applyBorder="1" applyAlignment="1">
      <alignment horizontal="left" vertical="center" wrapText="1"/>
    </xf>
    <xf numFmtId="210" fontId="51" fillId="0" borderId="12" xfId="96" applyNumberFormat="1" applyFont="1" applyFill="1" applyBorder="1" applyAlignment="1">
      <alignment horizontal="center" vertical="center"/>
      <protection/>
    </xf>
    <xf numFmtId="0" fontId="25" fillId="0" borderId="12" xfId="0" applyFont="1" applyFill="1" applyBorder="1" applyAlignment="1">
      <alignment vertical="center" wrapText="1"/>
    </xf>
    <xf numFmtId="216" fontId="30" fillId="0" borderId="12" xfId="0" applyNumberFormat="1" applyFont="1" applyFill="1" applyBorder="1" applyAlignment="1">
      <alignment horizontal="center" vertical="center" wrapText="1"/>
    </xf>
    <xf numFmtId="210" fontId="34" fillId="0" borderId="12" xfId="96" applyNumberFormat="1" applyFont="1" applyFill="1" applyBorder="1" applyAlignment="1">
      <alignment horizontal="center" vertical="center"/>
      <protection/>
    </xf>
    <xf numFmtId="49" fontId="13" fillId="0" borderId="12" xfId="0" applyNumberFormat="1" applyFont="1" applyFill="1" applyBorder="1" applyAlignment="1" applyProtection="1">
      <alignment horizontal="center" vertical="center"/>
      <protection/>
    </xf>
    <xf numFmtId="0" fontId="14"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3" xfId="0" applyFont="1" applyFill="1" applyBorder="1" applyAlignment="1">
      <alignment horizontal="left" vertical="center" wrapText="1"/>
    </xf>
    <xf numFmtId="49" fontId="15" fillId="0" borderId="15"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11" fontId="15" fillId="0" borderId="12" xfId="0" applyNumberFormat="1" applyFont="1" applyFill="1" applyBorder="1" applyAlignment="1">
      <alignment horizontal="left" vertical="center" wrapText="1"/>
    </xf>
    <xf numFmtId="11" fontId="15" fillId="0" borderId="14" xfId="0" applyNumberFormat="1" applyFont="1" applyFill="1" applyBorder="1" applyAlignment="1">
      <alignment horizontal="left" vertical="center"/>
    </xf>
    <xf numFmtId="11" fontId="15" fillId="0" borderId="15" xfId="0" applyNumberFormat="1" applyFont="1" applyFill="1" applyBorder="1" applyAlignment="1">
      <alignment horizontal="left" vertical="center"/>
    </xf>
    <xf numFmtId="11" fontId="15" fillId="0" borderId="13" xfId="0" applyNumberFormat="1" applyFont="1" applyFill="1" applyBorder="1" applyAlignment="1">
      <alignment horizontal="left" vertical="center"/>
    </xf>
    <xf numFmtId="0" fontId="15" fillId="0" borderId="12" xfId="0" applyFont="1" applyFill="1" applyBorder="1" applyAlignment="1">
      <alignment horizontal="left"/>
    </xf>
    <xf numFmtId="49" fontId="15" fillId="0" borderId="12" xfId="0" applyNumberFormat="1" applyFont="1" applyFill="1" applyBorder="1" applyAlignment="1">
      <alignment horizontal="left" vertical="center" wrapText="1"/>
    </xf>
    <xf numFmtId="0" fontId="15" fillId="0" borderId="12" xfId="0" applyFont="1" applyFill="1" applyBorder="1" applyAlignment="1">
      <alignment horizontal="left" wrapText="1"/>
    </xf>
    <xf numFmtId="0" fontId="20" fillId="0" borderId="12" xfId="0" applyFont="1" applyFill="1" applyBorder="1" applyAlignment="1">
      <alignment horizontal="left" wrapText="1"/>
    </xf>
    <xf numFmtId="49" fontId="15" fillId="0" borderId="14" xfId="0" applyNumberFormat="1" applyFont="1" applyFill="1" applyBorder="1" applyAlignment="1">
      <alignment horizontal="left" vertical="center" wrapText="1"/>
    </xf>
    <xf numFmtId="0" fontId="15" fillId="0" borderId="14" xfId="0" applyFont="1" applyFill="1" applyBorder="1" applyAlignment="1">
      <alignment horizontal="left" wrapText="1"/>
    </xf>
    <xf numFmtId="0" fontId="15" fillId="0" borderId="15" xfId="0" applyFont="1" applyFill="1" applyBorder="1" applyAlignment="1">
      <alignment horizontal="left" wrapText="1"/>
    </xf>
    <xf numFmtId="0" fontId="15" fillId="0" borderId="13" xfId="0" applyFont="1" applyFill="1" applyBorder="1" applyAlignment="1">
      <alignment horizontal="left" wrapText="1"/>
    </xf>
    <xf numFmtId="0" fontId="4" fillId="0" borderId="12" xfId="0" applyFont="1" applyFill="1" applyBorder="1" applyAlignment="1">
      <alignment horizontal="center" wrapText="1"/>
    </xf>
    <xf numFmtId="0" fontId="14" fillId="0" borderId="12" xfId="0" applyFont="1" applyFill="1" applyBorder="1" applyAlignment="1">
      <alignment horizontal="center"/>
    </xf>
    <xf numFmtId="0" fontId="13"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16" fillId="0" borderId="14" xfId="0" applyNumberFormat="1"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49" fontId="14" fillId="0" borderId="12" xfId="0" applyNumberFormat="1" applyFont="1" applyFill="1" applyBorder="1" applyAlignment="1">
      <alignment horizontal="center" vertical="center" wrapText="1"/>
    </xf>
    <xf numFmtId="49" fontId="13" fillId="0" borderId="15"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19" fillId="0" borderId="12" xfId="0" applyFont="1" applyFill="1" applyBorder="1" applyAlignment="1">
      <alignment horizontal="left" vertical="center" wrapText="1"/>
    </xf>
    <xf numFmtId="0" fontId="6" fillId="0" borderId="0" xfId="0" applyFont="1" applyFill="1" applyAlignment="1">
      <alignment horizontal="right"/>
    </xf>
    <xf numFmtId="0" fontId="9" fillId="0" borderId="12" xfId="0" applyFont="1" applyFill="1" applyBorder="1" applyAlignment="1">
      <alignment horizontal="center" vertical="center" wrapText="1"/>
    </xf>
    <xf numFmtId="0" fontId="14" fillId="0" borderId="12" xfId="0" applyFont="1" applyFill="1" applyBorder="1" applyAlignment="1">
      <alignment horizontal="center" wrapText="1"/>
    </xf>
    <xf numFmtId="0" fontId="15" fillId="0" borderId="12" xfId="0" applyFont="1" applyFill="1" applyBorder="1" applyAlignment="1">
      <alignment horizontal="center" wrapText="1"/>
    </xf>
    <xf numFmtId="0" fontId="4" fillId="0" borderId="12" xfId="0" applyFont="1" applyFill="1" applyBorder="1" applyAlignment="1">
      <alignment horizontal="center" vertical="top" wrapText="1"/>
    </xf>
    <xf numFmtId="0" fontId="6" fillId="0" borderId="0" xfId="0" applyFont="1" applyFill="1" applyAlignment="1">
      <alignment horizontal="center"/>
    </xf>
    <xf numFmtId="0" fontId="17" fillId="0" borderId="12"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0" fillId="0" borderId="0" xfId="0" applyFont="1" applyFill="1" applyAlignment="1">
      <alignment horizontal="center" vertical="center" wrapText="1"/>
    </xf>
    <xf numFmtId="0" fontId="12" fillId="0" borderId="0" xfId="0" applyFont="1" applyFill="1" applyAlignment="1">
      <alignment horizontal="center"/>
    </xf>
    <xf numFmtId="0" fontId="7" fillId="0" borderId="12"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20" fillId="0" borderId="12" xfId="0" applyNumberFormat="1"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3" xfId="0"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5" fillId="0" borderId="18" xfId="0" applyNumberFormat="1" applyFont="1" applyFill="1" applyBorder="1" applyAlignment="1">
      <alignment horizontal="left" vertical="center" wrapText="1"/>
    </xf>
    <xf numFmtId="49" fontId="15" fillId="0" borderId="11" xfId="0" applyNumberFormat="1"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49" fontId="15" fillId="0" borderId="17" xfId="0" applyNumberFormat="1" applyFont="1" applyFill="1" applyBorder="1" applyAlignment="1">
      <alignment horizontal="left" vertical="center" wrapText="1"/>
    </xf>
    <xf numFmtId="220" fontId="15" fillId="0" borderId="12" xfId="0" applyNumberFormat="1" applyFont="1" applyFill="1" applyBorder="1" applyAlignment="1">
      <alignment horizontal="left" vertical="center" wrapText="1"/>
    </xf>
    <xf numFmtId="216" fontId="15" fillId="0" borderId="0"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2" fontId="15" fillId="0" borderId="14" xfId="0" applyNumberFormat="1" applyFont="1" applyFill="1" applyBorder="1" applyAlignment="1">
      <alignment horizontal="left" vertical="center" wrapText="1"/>
    </xf>
    <xf numFmtId="2" fontId="13" fillId="0" borderId="15" xfId="0" applyNumberFormat="1" applyFont="1" applyFill="1" applyBorder="1" applyAlignment="1">
      <alignment horizontal="left" vertical="center" wrapText="1"/>
    </xf>
    <xf numFmtId="2" fontId="13" fillId="0" borderId="13" xfId="0" applyNumberFormat="1" applyFont="1" applyFill="1" applyBorder="1" applyAlignment="1">
      <alignment horizontal="left" vertical="center" wrapText="1"/>
    </xf>
    <xf numFmtId="2" fontId="15" fillId="0" borderId="15" xfId="0" applyNumberFormat="1" applyFont="1" applyFill="1" applyBorder="1" applyAlignment="1">
      <alignment horizontal="left" vertical="center" wrapText="1"/>
    </xf>
    <xf numFmtId="2" fontId="15" fillId="0" borderId="13" xfId="0" applyNumberFormat="1" applyFont="1" applyFill="1" applyBorder="1" applyAlignment="1">
      <alignment horizontal="left" vertical="center" wrapText="1"/>
    </xf>
    <xf numFmtId="49" fontId="15" fillId="0" borderId="12" xfId="0" applyNumberFormat="1" applyFont="1" applyFill="1" applyBorder="1" applyAlignment="1">
      <alignment horizontal="center" wrapText="1"/>
    </xf>
    <xf numFmtId="212" fontId="32" fillId="0" borderId="12" xfId="0" applyNumberFormat="1" applyFont="1" applyFill="1" applyBorder="1" applyAlignment="1">
      <alignment horizontal="center" vertical="center" wrapText="1"/>
    </xf>
    <xf numFmtId="212" fontId="33" fillId="0" borderId="12" xfId="0" applyNumberFormat="1" applyFont="1" applyFill="1" applyBorder="1" applyAlignment="1">
      <alignment horizontal="center" vertical="center" wrapText="1"/>
    </xf>
  </cellXfs>
  <cellStyles count="110">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_meresha_07"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Итог" xfId="97"/>
    <cellStyle name="Итог 2" xfId="98"/>
    <cellStyle name="Контрольная ячейка" xfId="99"/>
    <cellStyle name="Контрольная ячейка 2" xfId="100"/>
    <cellStyle name="Название" xfId="101"/>
    <cellStyle name="Название 2" xfId="102"/>
    <cellStyle name="Нейтральный" xfId="103"/>
    <cellStyle name="Нейтральный 2" xfId="104"/>
    <cellStyle name="Обычный 2" xfId="105"/>
    <cellStyle name="Обычный 3" xfId="106"/>
    <cellStyle name="Followed Hyperlink" xfId="107"/>
    <cellStyle name="Плохой" xfId="108"/>
    <cellStyle name="Плохой 2" xfId="109"/>
    <cellStyle name="Пояснение" xfId="110"/>
    <cellStyle name="Пояснение 2" xfId="111"/>
    <cellStyle name="Примечание" xfId="112"/>
    <cellStyle name="Примечание 2" xfId="113"/>
    <cellStyle name="Percent"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Хороший" xfId="122"/>
    <cellStyle name="Хороший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29"/>
  <sheetViews>
    <sheetView tabSelected="1" view="pageBreakPreview" zoomScaleNormal="120" zoomScaleSheetLayoutView="100" zoomScalePageLayoutView="0" workbookViewId="0" topLeftCell="C567">
      <selection activeCell="I831" sqref="I831"/>
    </sheetView>
  </sheetViews>
  <sheetFormatPr defaultColWidth="9.140625" defaultRowHeight="12.75"/>
  <cols>
    <col min="1" max="1" width="12.8515625" style="2" customWidth="1"/>
    <col min="2" max="3" width="10.421875" style="2" customWidth="1"/>
    <col min="4" max="4" width="38.421875" style="2" customWidth="1"/>
    <col min="5" max="5" width="39.28125" style="2" customWidth="1"/>
    <col min="6" max="7" width="15.28125" style="2" customWidth="1"/>
    <col min="8" max="8" width="15.421875" style="2" customWidth="1"/>
    <col min="9" max="9" width="20.8515625" style="2" customWidth="1"/>
    <col min="10" max="12" width="9.140625" style="2" customWidth="1"/>
    <col min="13" max="13" width="10.57421875" style="2" bestFit="1" customWidth="1"/>
    <col min="14" max="16384" width="9.140625" style="2" customWidth="1"/>
  </cols>
  <sheetData>
    <row r="1" spans="1:9" ht="60" customHeight="1">
      <c r="A1" s="1"/>
      <c r="B1" s="1"/>
      <c r="C1" s="1"/>
      <c r="D1" s="1"/>
      <c r="E1" s="33"/>
      <c r="F1" s="177" t="s">
        <v>379</v>
      </c>
      <c r="G1" s="177"/>
      <c r="H1" s="177"/>
      <c r="I1" s="177"/>
    </row>
    <row r="2" spans="1:9" ht="21.75" customHeight="1">
      <c r="A2" s="1"/>
      <c r="B2" s="1"/>
      <c r="C2" s="1"/>
      <c r="D2" s="1"/>
      <c r="E2" s="1"/>
      <c r="F2" s="177" t="s">
        <v>291</v>
      </c>
      <c r="G2" s="177"/>
      <c r="H2" s="177"/>
      <c r="I2" s="177"/>
    </row>
    <row r="3" spans="1:9" ht="18.75" customHeight="1">
      <c r="A3" s="1"/>
      <c r="B3" s="1"/>
      <c r="C3" s="1"/>
      <c r="D3" s="1"/>
      <c r="E3" s="1"/>
      <c r="F3" s="178"/>
      <c r="G3" s="178"/>
      <c r="H3" s="178"/>
      <c r="I3" s="178"/>
    </row>
    <row r="4" spans="1:9" ht="15.75">
      <c r="A4" s="1"/>
      <c r="B4" s="1"/>
      <c r="C4" s="1"/>
      <c r="D4" s="1"/>
      <c r="E4" s="1"/>
      <c r="F4" s="1"/>
      <c r="G4" s="1"/>
      <c r="H4" s="1"/>
      <c r="I4" s="1"/>
    </row>
    <row r="5" spans="1:9" ht="18.75">
      <c r="A5" s="180" t="s">
        <v>848</v>
      </c>
      <c r="B5" s="180"/>
      <c r="C5" s="180"/>
      <c r="D5" s="180"/>
      <c r="E5" s="180"/>
      <c r="F5" s="180"/>
      <c r="G5" s="180"/>
      <c r="H5" s="180"/>
      <c r="I5" s="180"/>
    </row>
    <row r="6" spans="8:9" ht="16.5" customHeight="1">
      <c r="H6" s="3"/>
      <c r="I6" s="4" t="s">
        <v>301</v>
      </c>
    </row>
    <row r="7" spans="1:9" ht="57" customHeight="1">
      <c r="A7" s="181" t="s">
        <v>853</v>
      </c>
      <c r="B7" s="181" t="s">
        <v>854</v>
      </c>
      <c r="C7" s="181" t="s">
        <v>254</v>
      </c>
      <c r="D7" s="5" t="s">
        <v>299</v>
      </c>
      <c r="E7" s="179" t="s">
        <v>933</v>
      </c>
      <c r="F7" s="179" t="s">
        <v>302</v>
      </c>
      <c r="G7" s="179" t="s">
        <v>934</v>
      </c>
      <c r="H7" s="179" t="s">
        <v>935</v>
      </c>
      <c r="I7" s="179" t="s">
        <v>303</v>
      </c>
    </row>
    <row r="8" spans="1:9" ht="92.25" customHeight="1">
      <c r="A8" s="181"/>
      <c r="B8" s="181"/>
      <c r="C8" s="181"/>
      <c r="D8" s="5" t="s">
        <v>300</v>
      </c>
      <c r="E8" s="179"/>
      <c r="F8" s="179"/>
      <c r="G8" s="179"/>
      <c r="H8" s="179"/>
      <c r="I8" s="179"/>
    </row>
    <row r="9" spans="1:9" ht="15.75">
      <c r="A9" s="5">
        <v>1</v>
      </c>
      <c r="B9" s="5">
        <v>2</v>
      </c>
      <c r="C9" s="5">
        <v>3</v>
      </c>
      <c r="D9" s="5">
        <v>4</v>
      </c>
      <c r="E9" s="5">
        <v>5</v>
      </c>
      <c r="F9" s="5">
        <v>6</v>
      </c>
      <c r="G9" s="5">
        <v>7</v>
      </c>
      <c r="H9" s="5">
        <v>8</v>
      </c>
      <c r="I9" s="5">
        <v>9</v>
      </c>
    </row>
    <row r="10" spans="1:9" ht="15.75" hidden="1">
      <c r="A10" s="12" t="s">
        <v>255</v>
      </c>
      <c r="B10" s="130" t="s">
        <v>258</v>
      </c>
      <c r="C10" s="130"/>
      <c r="D10" s="130"/>
      <c r="E10" s="5"/>
      <c r="F10" s="5"/>
      <c r="G10" s="5"/>
      <c r="H10" s="5"/>
      <c r="I10" s="35"/>
    </row>
    <row r="11" spans="1:9" ht="15.75" hidden="1">
      <c r="A11" s="13" t="s">
        <v>259</v>
      </c>
      <c r="B11" s="154" t="s">
        <v>258</v>
      </c>
      <c r="C11" s="154"/>
      <c r="D11" s="154"/>
      <c r="E11" s="5"/>
      <c r="F11" s="5"/>
      <c r="G11" s="5"/>
      <c r="H11" s="5"/>
      <c r="I11" s="54"/>
    </row>
    <row r="12" spans="1:9" ht="15.75" hidden="1">
      <c r="A12" s="12" t="s">
        <v>260</v>
      </c>
      <c r="B12" s="12" t="s">
        <v>261</v>
      </c>
      <c r="C12" s="130" t="s">
        <v>262</v>
      </c>
      <c r="D12" s="130"/>
      <c r="E12" s="5"/>
      <c r="F12" s="5"/>
      <c r="G12" s="5"/>
      <c r="H12" s="5"/>
      <c r="I12" s="11"/>
    </row>
    <row r="13" spans="1:9" ht="90" hidden="1">
      <c r="A13" s="14" t="s">
        <v>263</v>
      </c>
      <c r="B13" s="14" t="s">
        <v>264</v>
      </c>
      <c r="C13" s="14" t="s">
        <v>265</v>
      </c>
      <c r="D13" s="15" t="s">
        <v>270</v>
      </c>
      <c r="E13" s="5"/>
      <c r="F13" s="5"/>
      <c r="G13" s="5"/>
      <c r="H13" s="5"/>
      <c r="I13" s="11"/>
    </row>
    <row r="14" spans="1:9" ht="30" hidden="1">
      <c r="A14" s="14" t="s">
        <v>271</v>
      </c>
      <c r="B14" s="14" t="s">
        <v>941</v>
      </c>
      <c r="C14" s="14" t="s">
        <v>938</v>
      </c>
      <c r="D14" s="17" t="s">
        <v>272</v>
      </c>
      <c r="E14" s="5"/>
      <c r="F14" s="5"/>
      <c r="G14" s="5"/>
      <c r="H14" s="5"/>
      <c r="I14" s="11"/>
    </row>
    <row r="15" spans="1:9" ht="15.75" hidden="1">
      <c r="A15" s="12" t="s">
        <v>273</v>
      </c>
      <c r="B15" s="12" t="s">
        <v>274</v>
      </c>
      <c r="C15" s="160" t="s">
        <v>275</v>
      </c>
      <c r="D15" s="160"/>
      <c r="E15" s="5"/>
      <c r="F15" s="5"/>
      <c r="G15" s="5"/>
      <c r="H15" s="5"/>
      <c r="I15" s="11"/>
    </row>
    <row r="16" spans="1:9" ht="30" hidden="1">
      <c r="A16" s="14" t="s">
        <v>276</v>
      </c>
      <c r="B16" s="16">
        <v>3230</v>
      </c>
      <c r="C16" s="14" t="s">
        <v>277</v>
      </c>
      <c r="D16" s="17" t="s">
        <v>278</v>
      </c>
      <c r="E16" s="5"/>
      <c r="F16" s="5"/>
      <c r="G16" s="5"/>
      <c r="H16" s="5"/>
      <c r="I16" s="11"/>
    </row>
    <row r="17" spans="1:9" ht="33.75" customHeight="1" hidden="1">
      <c r="A17" s="12" t="s">
        <v>279</v>
      </c>
      <c r="B17" s="18">
        <v>7600</v>
      </c>
      <c r="C17" s="151" t="s">
        <v>280</v>
      </c>
      <c r="D17" s="151"/>
      <c r="E17" s="5"/>
      <c r="F17" s="5"/>
      <c r="G17" s="5"/>
      <c r="H17" s="5"/>
      <c r="I17" s="56"/>
    </row>
    <row r="18" spans="1:9" ht="30" hidden="1">
      <c r="A18" s="14" t="s">
        <v>947</v>
      </c>
      <c r="B18" s="16">
        <v>7670</v>
      </c>
      <c r="C18" s="14" t="s">
        <v>936</v>
      </c>
      <c r="D18" s="17" t="s">
        <v>673</v>
      </c>
      <c r="E18" s="5"/>
      <c r="F18" s="5"/>
      <c r="G18" s="5"/>
      <c r="H18" s="5"/>
      <c r="I18" s="34"/>
    </row>
    <row r="19" spans="1:9" ht="30" hidden="1">
      <c r="A19" s="14" t="s">
        <v>282</v>
      </c>
      <c r="B19" s="14" t="s">
        <v>283</v>
      </c>
      <c r="C19" s="14" t="s">
        <v>284</v>
      </c>
      <c r="D19" s="15" t="s">
        <v>285</v>
      </c>
      <c r="E19" s="5"/>
      <c r="F19" s="5"/>
      <c r="G19" s="5"/>
      <c r="H19" s="5"/>
      <c r="I19" s="5"/>
    </row>
    <row r="20" spans="1:9" ht="30" hidden="1">
      <c r="A20" s="19" t="s">
        <v>286</v>
      </c>
      <c r="B20" s="19" t="s">
        <v>287</v>
      </c>
      <c r="C20" s="19" t="s">
        <v>284</v>
      </c>
      <c r="D20" s="20" t="s">
        <v>288</v>
      </c>
      <c r="E20" s="5"/>
      <c r="F20" s="5"/>
      <c r="G20" s="5"/>
      <c r="H20" s="5"/>
      <c r="I20" s="5"/>
    </row>
    <row r="21" spans="1:9" ht="15.75" hidden="1">
      <c r="A21" s="14"/>
      <c r="B21" s="14"/>
      <c r="C21" s="14"/>
      <c r="D21" s="17"/>
      <c r="E21" s="5"/>
      <c r="F21" s="5"/>
      <c r="G21" s="5"/>
      <c r="H21" s="5"/>
      <c r="I21" s="5"/>
    </row>
    <row r="22" spans="1:9" ht="15.75" hidden="1">
      <c r="A22" s="144" t="s">
        <v>849</v>
      </c>
      <c r="B22" s="144"/>
      <c r="C22" s="144"/>
      <c r="D22" s="144"/>
      <c r="E22" s="144"/>
      <c r="F22" s="5"/>
      <c r="G22" s="5"/>
      <c r="H22" s="5"/>
      <c r="I22" s="34"/>
    </row>
    <row r="23" spans="1:9" ht="15.75" customHeight="1">
      <c r="A23" s="12" t="s">
        <v>512</v>
      </c>
      <c r="B23" s="155" t="s">
        <v>513</v>
      </c>
      <c r="C23" s="155"/>
      <c r="D23" s="155"/>
      <c r="E23" s="5"/>
      <c r="F23" s="5"/>
      <c r="G23" s="5"/>
      <c r="H23" s="5"/>
      <c r="I23" s="77">
        <f>I24</f>
        <v>375</v>
      </c>
    </row>
    <row r="24" spans="1:9" ht="15.75" customHeight="1">
      <c r="A24" s="13" t="s">
        <v>514</v>
      </c>
      <c r="B24" s="154" t="s">
        <v>513</v>
      </c>
      <c r="C24" s="154"/>
      <c r="D24" s="154"/>
      <c r="E24" s="5"/>
      <c r="F24" s="5"/>
      <c r="G24" s="5"/>
      <c r="H24" s="5"/>
      <c r="I24" s="78">
        <f>I160</f>
        <v>375</v>
      </c>
    </row>
    <row r="25" spans="1:9" ht="25.5" customHeight="1" hidden="1">
      <c r="A25" s="12" t="s">
        <v>515</v>
      </c>
      <c r="B25" s="18">
        <v>1000</v>
      </c>
      <c r="C25" s="130" t="s">
        <v>516</v>
      </c>
      <c r="D25" s="130"/>
      <c r="E25" s="5"/>
      <c r="F25" s="5"/>
      <c r="G25" s="5"/>
      <c r="H25" s="5"/>
      <c r="I25" s="35"/>
    </row>
    <row r="26" spans="1:9" ht="60" hidden="1">
      <c r="A26" s="14" t="s">
        <v>517</v>
      </c>
      <c r="B26" s="16">
        <v>1040</v>
      </c>
      <c r="C26" s="14" t="s">
        <v>518</v>
      </c>
      <c r="D26" s="17" t="s">
        <v>23</v>
      </c>
      <c r="E26" s="15" t="s">
        <v>756</v>
      </c>
      <c r="F26" s="5"/>
      <c r="G26" s="5"/>
      <c r="H26" s="5"/>
      <c r="I26" s="34">
        <v>1411.9</v>
      </c>
    </row>
    <row r="27" spans="1:9" ht="60.75" customHeight="1" hidden="1">
      <c r="A27" s="139" t="s">
        <v>846</v>
      </c>
      <c r="B27" s="139"/>
      <c r="C27" s="139"/>
      <c r="D27" s="139"/>
      <c r="E27" s="139"/>
      <c r="F27" s="42"/>
      <c r="G27" s="42"/>
      <c r="H27" s="42"/>
      <c r="I27" s="34">
        <v>47.2</v>
      </c>
    </row>
    <row r="28" spans="1:9" ht="40.5" customHeight="1" hidden="1">
      <c r="A28" s="139" t="s">
        <v>990</v>
      </c>
      <c r="B28" s="139"/>
      <c r="C28" s="139"/>
      <c r="D28" s="139"/>
      <c r="E28" s="139"/>
      <c r="F28" s="42"/>
      <c r="G28" s="42"/>
      <c r="H28" s="42"/>
      <c r="I28" s="34">
        <v>41.8</v>
      </c>
    </row>
    <row r="29" spans="1:9" ht="16.5" customHeight="1" hidden="1">
      <c r="A29" s="139" t="s">
        <v>19</v>
      </c>
      <c r="B29" s="139"/>
      <c r="C29" s="139"/>
      <c r="D29" s="139"/>
      <c r="E29" s="139"/>
      <c r="F29" s="42"/>
      <c r="G29" s="42"/>
      <c r="H29" s="42"/>
      <c r="I29" s="34"/>
    </row>
    <row r="30" spans="1:9" ht="14.25" customHeight="1" hidden="1">
      <c r="A30" s="144" t="s">
        <v>20</v>
      </c>
      <c r="B30" s="144"/>
      <c r="C30" s="144"/>
      <c r="D30" s="144"/>
      <c r="E30" s="144"/>
      <c r="F30" s="42"/>
      <c r="G30" s="42"/>
      <c r="H30" s="42"/>
      <c r="I30" s="34"/>
    </row>
    <row r="31" spans="1:9" ht="30" customHeight="1" hidden="1">
      <c r="A31" s="144" t="s">
        <v>21</v>
      </c>
      <c r="B31" s="144"/>
      <c r="C31" s="144"/>
      <c r="D31" s="144"/>
      <c r="E31" s="144"/>
      <c r="F31" s="42"/>
      <c r="G31" s="42"/>
      <c r="H31" s="42"/>
      <c r="I31" s="34"/>
    </row>
    <row r="32" spans="1:9" ht="17.25" customHeight="1" hidden="1">
      <c r="A32" s="144" t="s">
        <v>18</v>
      </c>
      <c r="B32" s="144"/>
      <c r="C32" s="144"/>
      <c r="D32" s="144"/>
      <c r="E32" s="144"/>
      <c r="F32" s="42"/>
      <c r="G32" s="42"/>
      <c r="H32" s="42"/>
      <c r="I32" s="34"/>
    </row>
    <row r="33" spans="1:9" ht="33" customHeight="1" hidden="1">
      <c r="A33" s="144" t="s">
        <v>770</v>
      </c>
      <c r="B33" s="144"/>
      <c r="C33" s="144"/>
      <c r="D33" s="144"/>
      <c r="E33" s="144"/>
      <c r="F33" s="42"/>
      <c r="G33" s="42"/>
      <c r="H33" s="42"/>
      <c r="I33" s="34"/>
    </row>
    <row r="34" spans="1:9" ht="63" customHeight="1" hidden="1">
      <c r="A34" s="14" t="s">
        <v>24</v>
      </c>
      <c r="B34" s="16">
        <v>1050</v>
      </c>
      <c r="C34" s="14" t="s">
        <v>25</v>
      </c>
      <c r="D34" s="17" t="s">
        <v>928</v>
      </c>
      <c r="E34" s="15" t="s">
        <v>756</v>
      </c>
      <c r="F34" s="5"/>
      <c r="G34" s="5"/>
      <c r="H34" s="5"/>
      <c r="I34" s="34">
        <v>1051.7</v>
      </c>
    </row>
    <row r="35" spans="1:9" ht="63" customHeight="1" hidden="1">
      <c r="A35" s="139" t="s">
        <v>40</v>
      </c>
      <c r="B35" s="139"/>
      <c r="C35" s="139"/>
      <c r="D35" s="139"/>
      <c r="E35" s="139"/>
      <c r="F35" s="42"/>
      <c r="G35" s="42"/>
      <c r="H35" s="42"/>
      <c r="I35" s="34">
        <v>83.2</v>
      </c>
    </row>
    <row r="36" spans="1:9" ht="40.5" customHeight="1" hidden="1">
      <c r="A36" s="139" t="s">
        <v>990</v>
      </c>
      <c r="B36" s="139"/>
      <c r="C36" s="139"/>
      <c r="D36" s="139"/>
      <c r="E36" s="139"/>
      <c r="F36" s="42"/>
      <c r="G36" s="42"/>
      <c r="H36" s="42"/>
      <c r="I36" s="34">
        <v>83.5</v>
      </c>
    </row>
    <row r="37" spans="1:9" ht="39.75" customHeight="1" hidden="1">
      <c r="A37" s="139" t="s">
        <v>771</v>
      </c>
      <c r="B37" s="139"/>
      <c r="C37" s="139"/>
      <c r="D37" s="139"/>
      <c r="E37" s="139"/>
      <c r="F37" s="42"/>
      <c r="G37" s="42"/>
      <c r="H37" s="42"/>
      <c r="I37" s="34">
        <f>9929.6-5030-4899.6</f>
        <v>0</v>
      </c>
    </row>
    <row r="38" spans="1:9" ht="39" customHeight="1" hidden="1">
      <c r="A38" s="144" t="s">
        <v>80</v>
      </c>
      <c r="B38" s="144"/>
      <c r="C38" s="144"/>
      <c r="D38" s="144"/>
      <c r="E38" s="144"/>
      <c r="F38" s="42"/>
      <c r="G38" s="42"/>
      <c r="H38" s="42"/>
      <c r="I38" s="34">
        <f>968.5-968.5</f>
        <v>0</v>
      </c>
    </row>
    <row r="39" spans="1:9" ht="39" customHeight="1" hidden="1">
      <c r="A39" s="144" t="s">
        <v>482</v>
      </c>
      <c r="B39" s="144"/>
      <c r="C39" s="144"/>
      <c r="D39" s="144"/>
      <c r="E39" s="144"/>
      <c r="F39" s="42"/>
      <c r="G39" s="42"/>
      <c r="H39" s="42"/>
      <c r="I39" s="34">
        <v>968.5</v>
      </c>
    </row>
    <row r="40" spans="1:9" ht="66" customHeight="1" hidden="1">
      <c r="A40" s="14" t="s">
        <v>929</v>
      </c>
      <c r="B40" s="16">
        <v>1060</v>
      </c>
      <c r="C40" s="14" t="s">
        <v>930</v>
      </c>
      <c r="D40" s="17" t="s">
        <v>931</v>
      </c>
      <c r="E40" s="15" t="s">
        <v>756</v>
      </c>
      <c r="F40" s="5"/>
      <c r="G40" s="5"/>
      <c r="H40" s="5"/>
      <c r="I40" s="34">
        <v>1149.4</v>
      </c>
    </row>
    <row r="41" spans="1:9" ht="60.75" customHeight="1" hidden="1">
      <c r="A41" s="139" t="s">
        <v>721</v>
      </c>
      <c r="B41" s="139"/>
      <c r="C41" s="139"/>
      <c r="D41" s="139"/>
      <c r="E41" s="139"/>
      <c r="F41" s="42"/>
      <c r="G41" s="42"/>
      <c r="H41" s="42"/>
      <c r="I41" s="34">
        <v>39.4</v>
      </c>
    </row>
    <row r="42" spans="1:9" ht="66" customHeight="1" hidden="1">
      <c r="A42" s="139" t="s">
        <v>990</v>
      </c>
      <c r="B42" s="139"/>
      <c r="C42" s="139"/>
      <c r="D42" s="139"/>
      <c r="E42" s="139"/>
      <c r="F42" s="42"/>
      <c r="G42" s="42"/>
      <c r="H42" s="42"/>
      <c r="I42" s="34">
        <v>41.8</v>
      </c>
    </row>
    <row r="43" spans="1:9" ht="36.75" customHeight="1" hidden="1">
      <c r="A43" s="139" t="s">
        <v>82</v>
      </c>
      <c r="B43" s="139"/>
      <c r="C43" s="139"/>
      <c r="D43" s="139"/>
      <c r="E43" s="139"/>
      <c r="F43" s="42"/>
      <c r="G43" s="42"/>
      <c r="H43" s="42"/>
      <c r="I43" s="34"/>
    </row>
    <row r="44" spans="1:9" ht="15.75" customHeight="1" hidden="1">
      <c r="A44" s="139" t="s">
        <v>81</v>
      </c>
      <c r="B44" s="139"/>
      <c r="C44" s="139"/>
      <c r="D44" s="139"/>
      <c r="E44" s="139"/>
      <c r="F44" s="42"/>
      <c r="G44" s="42"/>
      <c r="H44" s="42"/>
      <c r="I44" s="34"/>
    </row>
    <row r="45" spans="1:9" ht="90" hidden="1">
      <c r="A45" s="14" t="s">
        <v>932</v>
      </c>
      <c r="B45" s="16">
        <v>1070</v>
      </c>
      <c r="C45" s="14" t="s">
        <v>847</v>
      </c>
      <c r="D45" s="17" t="s">
        <v>432</v>
      </c>
      <c r="E45" s="15" t="s">
        <v>756</v>
      </c>
      <c r="F45" s="5"/>
      <c r="G45" s="5"/>
      <c r="H45" s="5"/>
      <c r="I45" s="34">
        <v>16353.1</v>
      </c>
    </row>
    <row r="46" spans="1:9" ht="42" customHeight="1" hidden="1">
      <c r="A46" s="139" t="s">
        <v>722</v>
      </c>
      <c r="B46" s="139"/>
      <c r="C46" s="139"/>
      <c r="D46" s="139"/>
      <c r="E46" s="139"/>
      <c r="F46" s="42"/>
      <c r="G46" s="42"/>
      <c r="H46" s="42"/>
      <c r="I46" s="34">
        <v>37.5</v>
      </c>
    </row>
    <row r="47" spans="1:9" ht="42" customHeight="1" hidden="1">
      <c r="A47" s="139" t="s">
        <v>45</v>
      </c>
      <c r="B47" s="139"/>
      <c r="C47" s="139"/>
      <c r="D47" s="139"/>
      <c r="E47" s="139"/>
      <c r="F47" s="42"/>
      <c r="G47" s="42"/>
      <c r="H47" s="42"/>
      <c r="I47" s="34">
        <v>37.5</v>
      </c>
    </row>
    <row r="48" spans="1:9" ht="42" customHeight="1" hidden="1">
      <c r="A48" s="139" t="s">
        <v>976</v>
      </c>
      <c r="B48" s="139"/>
      <c r="C48" s="139"/>
      <c r="D48" s="139"/>
      <c r="E48" s="139"/>
      <c r="F48" s="42"/>
      <c r="G48" s="42"/>
      <c r="H48" s="42"/>
      <c r="I48" s="34">
        <v>30.7</v>
      </c>
    </row>
    <row r="49" spans="1:9" ht="42" customHeight="1" hidden="1">
      <c r="A49" s="139" t="s">
        <v>977</v>
      </c>
      <c r="B49" s="139"/>
      <c r="C49" s="139"/>
      <c r="D49" s="139"/>
      <c r="E49" s="139"/>
      <c r="F49" s="42"/>
      <c r="G49" s="42"/>
      <c r="H49" s="42"/>
      <c r="I49" s="34">
        <v>39.4</v>
      </c>
    </row>
    <row r="50" spans="1:9" ht="42" customHeight="1" hidden="1">
      <c r="A50" s="139" t="s">
        <v>978</v>
      </c>
      <c r="B50" s="139"/>
      <c r="C50" s="139"/>
      <c r="D50" s="139"/>
      <c r="E50" s="139"/>
      <c r="F50" s="42"/>
      <c r="G50" s="42"/>
      <c r="H50" s="42"/>
      <c r="I50" s="34">
        <v>58.1</v>
      </c>
    </row>
    <row r="51" spans="1:9" ht="42" customHeight="1" hidden="1">
      <c r="A51" s="139" t="s">
        <v>832</v>
      </c>
      <c r="B51" s="139"/>
      <c r="C51" s="139"/>
      <c r="D51" s="139"/>
      <c r="E51" s="139"/>
      <c r="F51" s="42"/>
      <c r="G51" s="42"/>
      <c r="H51" s="42"/>
      <c r="I51" s="34">
        <v>32.7</v>
      </c>
    </row>
    <row r="52" spans="1:9" ht="42" customHeight="1" hidden="1">
      <c r="A52" s="139" t="s">
        <v>450</v>
      </c>
      <c r="B52" s="139"/>
      <c r="C52" s="139"/>
      <c r="D52" s="139"/>
      <c r="E52" s="139"/>
      <c r="F52" s="42"/>
      <c r="G52" s="42"/>
      <c r="H52" s="42"/>
      <c r="I52" s="34">
        <v>62</v>
      </c>
    </row>
    <row r="53" spans="1:9" ht="42" customHeight="1" hidden="1">
      <c r="A53" s="139" t="s">
        <v>716</v>
      </c>
      <c r="B53" s="139"/>
      <c r="C53" s="139"/>
      <c r="D53" s="139"/>
      <c r="E53" s="139"/>
      <c r="F53" s="42"/>
      <c r="G53" s="42"/>
      <c r="H53" s="42"/>
      <c r="I53" s="34">
        <v>35.6</v>
      </c>
    </row>
    <row r="54" spans="1:9" ht="42" customHeight="1" hidden="1">
      <c r="A54" s="139" t="s">
        <v>704</v>
      </c>
      <c r="B54" s="139"/>
      <c r="C54" s="139"/>
      <c r="D54" s="139"/>
      <c r="E54" s="139"/>
      <c r="F54" s="42"/>
      <c r="G54" s="42"/>
      <c r="H54" s="42"/>
      <c r="I54" s="34">
        <v>42.4</v>
      </c>
    </row>
    <row r="55" spans="1:9" ht="42" customHeight="1" hidden="1">
      <c r="A55" s="139" t="s">
        <v>982</v>
      </c>
      <c r="B55" s="139"/>
      <c r="C55" s="139"/>
      <c r="D55" s="139"/>
      <c r="E55" s="139"/>
      <c r="F55" s="42"/>
      <c r="G55" s="42"/>
      <c r="H55" s="42"/>
      <c r="I55" s="34">
        <v>32.7</v>
      </c>
    </row>
    <row r="56" spans="1:9" ht="42" customHeight="1" hidden="1">
      <c r="A56" s="139" t="s">
        <v>519</v>
      </c>
      <c r="B56" s="139"/>
      <c r="C56" s="139"/>
      <c r="D56" s="139"/>
      <c r="E56" s="139"/>
      <c r="F56" s="42"/>
      <c r="G56" s="42"/>
      <c r="H56" s="42"/>
      <c r="I56" s="34">
        <v>39.4</v>
      </c>
    </row>
    <row r="57" spans="1:9" ht="42" customHeight="1" hidden="1">
      <c r="A57" s="139" t="s">
        <v>103</v>
      </c>
      <c r="B57" s="139"/>
      <c r="C57" s="139"/>
      <c r="D57" s="139"/>
      <c r="E57" s="139"/>
      <c r="F57" s="42"/>
      <c r="G57" s="42"/>
      <c r="H57" s="42"/>
      <c r="I57" s="34">
        <v>59.1</v>
      </c>
    </row>
    <row r="58" spans="1:9" ht="42" customHeight="1" hidden="1">
      <c r="A58" s="139" t="s">
        <v>164</v>
      </c>
      <c r="B58" s="139"/>
      <c r="C58" s="139"/>
      <c r="D58" s="139"/>
      <c r="E58" s="139"/>
      <c r="F58" s="42"/>
      <c r="G58" s="42"/>
      <c r="H58" s="42"/>
      <c r="I58" s="34">
        <v>34.6</v>
      </c>
    </row>
    <row r="59" spans="1:9" ht="42" customHeight="1" hidden="1">
      <c r="A59" s="139" t="s">
        <v>165</v>
      </c>
      <c r="B59" s="139"/>
      <c r="C59" s="139"/>
      <c r="D59" s="139"/>
      <c r="E59" s="139"/>
      <c r="F59" s="42"/>
      <c r="G59" s="42"/>
      <c r="H59" s="42"/>
      <c r="I59" s="34">
        <v>36.5</v>
      </c>
    </row>
    <row r="60" spans="1:9" ht="42" customHeight="1" hidden="1">
      <c r="A60" s="139" t="s">
        <v>166</v>
      </c>
      <c r="B60" s="139"/>
      <c r="C60" s="139"/>
      <c r="D60" s="139"/>
      <c r="E60" s="139"/>
      <c r="F60" s="42"/>
      <c r="G60" s="42"/>
      <c r="H60" s="42"/>
      <c r="I60" s="34">
        <v>37.5</v>
      </c>
    </row>
    <row r="61" spans="1:9" ht="42" customHeight="1" hidden="1">
      <c r="A61" s="139" t="s">
        <v>880</v>
      </c>
      <c r="B61" s="139"/>
      <c r="C61" s="139"/>
      <c r="D61" s="139"/>
      <c r="E61" s="139"/>
      <c r="F61" s="42"/>
      <c r="G61" s="42"/>
      <c r="H61" s="42"/>
      <c r="I61" s="34">
        <v>33.6</v>
      </c>
    </row>
    <row r="62" spans="1:9" ht="45.75" customHeight="1" hidden="1">
      <c r="A62" s="139" t="s">
        <v>990</v>
      </c>
      <c r="B62" s="139"/>
      <c r="C62" s="139"/>
      <c r="D62" s="139"/>
      <c r="E62" s="139"/>
      <c r="F62" s="42"/>
      <c r="G62" s="42"/>
      <c r="H62" s="42"/>
      <c r="I62" s="34">
        <v>794.1</v>
      </c>
    </row>
    <row r="63" spans="1:9" ht="37.5" customHeight="1" hidden="1">
      <c r="A63" s="139" t="s">
        <v>945</v>
      </c>
      <c r="B63" s="139"/>
      <c r="C63" s="139"/>
      <c r="D63" s="139"/>
      <c r="E63" s="139"/>
      <c r="F63" s="42"/>
      <c r="G63" s="42"/>
      <c r="H63" s="42"/>
      <c r="I63" s="34"/>
    </row>
    <row r="64" spans="1:9" ht="37.5" customHeight="1" hidden="1">
      <c r="A64" s="139" t="s">
        <v>944</v>
      </c>
      <c r="B64" s="139"/>
      <c r="C64" s="139"/>
      <c r="D64" s="139"/>
      <c r="E64" s="139"/>
      <c r="F64" s="42"/>
      <c r="G64" s="42"/>
      <c r="H64" s="42"/>
      <c r="I64" s="34">
        <f>2500+4160-3000</f>
        <v>3660</v>
      </c>
    </row>
    <row r="65" spans="1:9" ht="15.75" customHeight="1" hidden="1">
      <c r="A65" s="139" t="s">
        <v>534</v>
      </c>
      <c r="B65" s="139"/>
      <c r="C65" s="139"/>
      <c r="D65" s="139"/>
      <c r="E65" s="139"/>
      <c r="F65" s="42"/>
      <c r="G65" s="42"/>
      <c r="H65" s="42"/>
      <c r="I65" s="34"/>
    </row>
    <row r="66" spans="1:9" ht="15.75" customHeight="1" hidden="1">
      <c r="A66" s="139" t="s">
        <v>535</v>
      </c>
      <c r="B66" s="139"/>
      <c r="C66" s="139"/>
      <c r="D66" s="139"/>
      <c r="E66" s="139"/>
      <c r="F66" s="42"/>
      <c r="G66" s="42"/>
      <c r="H66" s="42"/>
      <c r="I66" s="34"/>
    </row>
    <row r="67" spans="1:9" ht="15.75" customHeight="1" hidden="1">
      <c r="A67" s="139" t="s">
        <v>751</v>
      </c>
      <c r="B67" s="139"/>
      <c r="C67" s="139"/>
      <c r="D67" s="139"/>
      <c r="E67" s="139"/>
      <c r="F67" s="42"/>
      <c r="G67" s="42"/>
      <c r="H67" s="42"/>
      <c r="I67" s="34"/>
    </row>
    <row r="68" spans="1:9" ht="34.5" customHeight="1" hidden="1">
      <c r="A68" s="139" t="s">
        <v>484</v>
      </c>
      <c r="B68" s="139"/>
      <c r="C68" s="139"/>
      <c r="D68" s="139"/>
      <c r="E68" s="139"/>
      <c r="F68" s="42"/>
      <c r="G68" s="42"/>
      <c r="H68" s="42"/>
      <c r="I68" s="34">
        <v>192</v>
      </c>
    </row>
    <row r="69" spans="1:9" ht="15" customHeight="1" hidden="1">
      <c r="A69" s="139" t="s">
        <v>676</v>
      </c>
      <c r="B69" s="139"/>
      <c r="C69" s="139"/>
      <c r="D69" s="139"/>
      <c r="E69" s="139"/>
      <c r="F69" s="42"/>
      <c r="G69" s="42"/>
      <c r="H69" s="42"/>
      <c r="I69" s="34">
        <f>1398-1188</f>
        <v>210</v>
      </c>
    </row>
    <row r="70" spans="1:9" ht="18.75" customHeight="1" hidden="1">
      <c r="A70" s="139" t="s">
        <v>840</v>
      </c>
      <c r="B70" s="139"/>
      <c r="C70" s="139"/>
      <c r="D70" s="139"/>
      <c r="E70" s="139"/>
      <c r="F70" s="42"/>
      <c r="G70" s="42"/>
      <c r="H70" s="42"/>
      <c r="I70" s="34">
        <f>1500-112-802.5</f>
        <v>585.5</v>
      </c>
    </row>
    <row r="71" spans="1:9" ht="15.75" hidden="1">
      <c r="A71" s="139" t="s">
        <v>1050</v>
      </c>
      <c r="B71" s="139"/>
      <c r="C71" s="139"/>
      <c r="D71" s="139"/>
      <c r="E71" s="139"/>
      <c r="F71" s="42"/>
      <c r="G71" s="42"/>
      <c r="H71" s="42"/>
      <c r="I71" s="34"/>
    </row>
    <row r="72" spans="1:9" ht="15.75" hidden="1">
      <c r="A72" s="139" t="s">
        <v>703</v>
      </c>
      <c r="B72" s="139"/>
      <c r="C72" s="139"/>
      <c r="D72" s="139"/>
      <c r="E72" s="139"/>
      <c r="F72" s="42"/>
      <c r="G72" s="42"/>
      <c r="H72" s="42"/>
      <c r="I72" s="34"/>
    </row>
    <row r="73" spans="1:9" ht="15.75" hidden="1">
      <c r="A73" s="139" t="s">
        <v>458</v>
      </c>
      <c r="B73" s="139"/>
      <c r="C73" s="139"/>
      <c r="D73" s="139"/>
      <c r="E73" s="139"/>
      <c r="F73" s="42"/>
      <c r="G73" s="42"/>
      <c r="H73" s="42"/>
      <c r="I73" s="34">
        <f>392-392</f>
        <v>0</v>
      </c>
    </row>
    <row r="74" spans="1:9" ht="15.75" hidden="1">
      <c r="A74" s="139" t="s">
        <v>125</v>
      </c>
      <c r="B74" s="139"/>
      <c r="C74" s="139"/>
      <c r="D74" s="139"/>
      <c r="E74" s="139"/>
      <c r="F74" s="42"/>
      <c r="G74" s="42"/>
      <c r="H74" s="42"/>
      <c r="I74" s="34">
        <f>450-450</f>
        <v>0</v>
      </c>
    </row>
    <row r="75" spans="1:9" ht="15.75" hidden="1">
      <c r="A75" s="139" t="s">
        <v>905</v>
      </c>
      <c r="B75" s="139"/>
      <c r="C75" s="139"/>
      <c r="D75" s="139"/>
      <c r="E75" s="139"/>
      <c r="F75" s="42"/>
      <c r="G75" s="42"/>
      <c r="H75" s="42"/>
      <c r="I75" s="34"/>
    </row>
    <row r="76" spans="1:9" ht="30.75" customHeight="1" hidden="1">
      <c r="A76" s="139" t="s">
        <v>906</v>
      </c>
      <c r="B76" s="139"/>
      <c r="C76" s="139"/>
      <c r="D76" s="139"/>
      <c r="E76" s="139"/>
      <c r="F76" s="42"/>
      <c r="G76" s="42"/>
      <c r="H76" s="42"/>
      <c r="I76" s="34">
        <f>1320-264-42.2</f>
        <v>1013.8</v>
      </c>
    </row>
    <row r="77" spans="1:9" ht="37.5" customHeight="1" hidden="1">
      <c r="A77" s="139" t="s">
        <v>483</v>
      </c>
      <c r="B77" s="139"/>
      <c r="C77" s="139"/>
      <c r="D77" s="139"/>
      <c r="E77" s="139"/>
      <c r="F77" s="42"/>
      <c r="G77" s="42"/>
      <c r="H77" s="42"/>
      <c r="I77" s="34">
        <v>42.2</v>
      </c>
    </row>
    <row r="78" spans="1:9" ht="15.75" hidden="1">
      <c r="A78" s="139" t="s">
        <v>621</v>
      </c>
      <c r="B78" s="139"/>
      <c r="C78" s="139"/>
      <c r="D78" s="139"/>
      <c r="E78" s="139"/>
      <c r="F78" s="42"/>
      <c r="G78" s="42"/>
      <c r="H78" s="42"/>
      <c r="I78" s="34"/>
    </row>
    <row r="79" spans="1:9" ht="15.75" hidden="1">
      <c r="A79" s="139" t="s">
        <v>850</v>
      </c>
      <c r="B79" s="139"/>
      <c r="C79" s="139"/>
      <c r="D79" s="139"/>
      <c r="E79" s="139"/>
      <c r="F79" s="42"/>
      <c r="G79" s="42"/>
      <c r="H79" s="42"/>
      <c r="I79" s="34"/>
    </row>
    <row r="80" spans="1:9" ht="15.75" hidden="1">
      <c r="A80" s="139" t="s">
        <v>851</v>
      </c>
      <c r="B80" s="139"/>
      <c r="C80" s="139"/>
      <c r="D80" s="139"/>
      <c r="E80" s="139"/>
      <c r="F80" s="42"/>
      <c r="G80" s="42"/>
      <c r="H80" s="42"/>
      <c r="I80" s="34"/>
    </row>
    <row r="81" spans="1:9" ht="31.5" customHeight="1" hidden="1">
      <c r="A81" s="139" t="s">
        <v>622</v>
      </c>
      <c r="B81" s="139"/>
      <c r="C81" s="139"/>
      <c r="D81" s="139"/>
      <c r="E81" s="139"/>
      <c r="F81" s="43"/>
      <c r="G81" s="43"/>
      <c r="H81" s="43"/>
      <c r="I81" s="34"/>
    </row>
    <row r="82" spans="1:9" ht="28.5" customHeight="1" hidden="1">
      <c r="A82" s="139" t="s">
        <v>852</v>
      </c>
      <c r="B82" s="139"/>
      <c r="C82" s="139"/>
      <c r="D82" s="139"/>
      <c r="E82" s="139"/>
      <c r="F82" s="101"/>
      <c r="G82" s="101"/>
      <c r="H82" s="101"/>
      <c r="I82" s="34">
        <f>1000-1000</f>
        <v>0</v>
      </c>
    </row>
    <row r="83" spans="1:9" ht="28.5" customHeight="1" hidden="1">
      <c r="A83" s="139" t="s">
        <v>694</v>
      </c>
      <c r="B83" s="139"/>
      <c r="C83" s="139"/>
      <c r="D83" s="139"/>
      <c r="E83" s="139"/>
      <c r="F83" s="101"/>
      <c r="G83" s="101"/>
      <c r="H83" s="101"/>
      <c r="I83" s="34">
        <v>1000</v>
      </c>
    </row>
    <row r="84" spans="1:9" ht="15.75" hidden="1">
      <c r="A84" s="69" t="s">
        <v>48</v>
      </c>
      <c r="B84" s="68"/>
      <c r="C84" s="68"/>
      <c r="D84" s="68"/>
      <c r="E84" s="68"/>
      <c r="F84" s="42"/>
      <c r="G84" s="42"/>
      <c r="H84" s="42"/>
      <c r="I84" s="34"/>
    </row>
    <row r="85" spans="1:9" ht="15.75" hidden="1">
      <c r="A85" s="140" t="s">
        <v>831</v>
      </c>
      <c r="B85" s="141"/>
      <c r="C85" s="141"/>
      <c r="D85" s="141"/>
      <c r="E85" s="142"/>
      <c r="F85" s="42"/>
      <c r="G85" s="42"/>
      <c r="H85" s="42"/>
      <c r="I85" s="34">
        <v>0</v>
      </c>
    </row>
    <row r="86" spans="1:9" ht="15.75" hidden="1">
      <c r="A86" s="69" t="s">
        <v>680</v>
      </c>
      <c r="B86" s="69"/>
      <c r="C86" s="69"/>
      <c r="D86" s="69"/>
      <c r="E86" s="69"/>
      <c r="F86" s="42"/>
      <c r="G86" s="42"/>
      <c r="H86" s="42"/>
      <c r="I86" s="34"/>
    </row>
    <row r="87" spans="1:9" ht="15.75" hidden="1">
      <c r="A87" s="69" t="s">
        <v>681</v>
      </c>
      <c r="B87" s="69"/>
      <c r="C87" s="69"/>
      <c r="D87" s="69"/>
      <c r="E87" s="69"/>
      <c r="F87" s="42"/>
      <c r="G87" s="42"/>
      <c r="H87" s="42"/>
      <c r="I87" s="34">
        <f>175+802.5</f>
        <v>977.5</v>
      </c>
    </row>
    <row r="88" spans="1:9" ht="143.25" customHeight="1" hidden="1">
      <c r="A88" s="14" t="s">
        <v>246</v>
      </c>
      <c r="B88" s="16">
        <v>1080</v>
      </c>
      <c r="C88" s="14" t="s">
        <v>247</v>
      </c>
      <c r="D88" s="17" t="s">
        <v>866</v>
      </c>
      <c r="E88" s="15" t="s">
        <v>756</v>
      </c>
      <c r="F88" s="5"/>
      <c r="G88" s="5"/>
      <c r="H88" s="5"/>
      <c r="I88" s="60">
        <v>11301.9489</v>
      </c>
    </row>
    <row r="89" spans="1:9" ht="39.75" customHeight="1" hidden="1">
      <c r="A89" s="139" t="s">
        <v>41</v>
      </c>
      <c r="B89" s="139"/>
      <c r="C89" s="139"/>
      <c r="D89" s="139"/>
      <c r="E89" s="139"/>
      <c r="F89" s="5"/>
      <c r="G89" s="5"/>
      <c r="H89" s="5"/>
      <c r="I89" s="34">
        <v>1100</v>
      </c>
    </row>
    <row r="90" spans="1:9" ht="17.25" customHeight="1" hidden="1">
      <c r="A90" s="44" t="s">
        <v>682</v>
      </c>
      <c r="B90" s="45"/>
      <c r="C90" s="46"/>
      <c r="D90" s="47"/>
      <c r="E90" s="48"/>
      <c r="F90" s="5"/>
      <c r="G90" s="5"/>
      <c r="H90" s="5"/>
      <c r="I90" s="34"/>
    </row>
    <row r="91" spans="1:9" ht="18" customHeight="1" hidden="1">
      <c r="A91" s="44" t="s">
        <v>683</v>
      </c>
      <c r="B91" s="45"/>
      <c r="C91" s="46"/>
      <c r="D91" s="47"/>
      <c r="E91" s="48"/>
      <c r="F91" s="5"/>
      <c r="G91" s="5"/>
      <c r="H91" s="5"/>
      <c r="I91" s="34"/>
    </row>
    <row r="92" spans="1:9" ht="45" hidden="1">
      <c r="A92" s="14" t="s">
        <v>867</v>
      </c>
      <c r="B92" s="16">
        <v>1090</v>
      </c>
      <c r="C92" s="14" t="s">
        <v>868</v>
      </c>
      <c r="D92" s="17" t="s">
        <v>869</v>
      </c>
      <c r="E92" s="15" t="s">
        <v>756</v>
      </c>
      <c r="F92" s="5"/>
      <c r="G92" s="5"/>
      <c r="H92" s="5"/>
      <c r="I92" s="34">
        <f>2120+43</f>
        <v>2163</v>
      </c>
    </row>
    <row r="93" spans="1:9" ht="23.25" customHeight="1" hidden="1">
      <c r="A93" s="143" t="s">
        <v>684</v>
      </c>
      <c r="B93" s="143"/>
      <c r="C93" s="143"/>
      <c r="D93" s="143"/>
      <c r="E93" s="143"/>
      <c r="F93" s="5"/>
      <c r="G93" s="5"/>
      <c r="H93" s="5"/>
      <c r="I93" s="34"/>
    </row>
    <row r="94" spans="1:9" ht="33" customHeight="1" hidden="1">
      <c r="A94" s="145" t="s">
        <v>431</v>
      </c>
      <c r="B94" s="145"/>
      <c r="C94" s="145"/>
      <c r="D94" s="145"/>
      <c r="E94" s="145"/>
      <c r="F94" s="5"/>
      <c r="G94" s="5"/>
      <c r="H94" s="5"/>
      <c r="I94" s="34">
        <v>0</v>
      </c>
    </row>
    <row r="95" spans="1:9" ht="33" customHeight="1" hidden="1">
      <c r="A95" s="145" t="s">
        <v>696</v>
      </c>
      <c r="B95" s="145"/>
      <c r="C95" s="145"/>
      <c r="D95" s="145"/>
      <c r="E95" s="145"/>
      <c r="F95" s="5"/>
      <c r="G95" s="5"/>
      <c r="H95" s="5"/>
      <c r="I95" s="34">
        <v>30</v>
      </c>
    </row>
    <row r="96" spans="1:9" ht="33" customHeight="1" hidden="1">
      <c r="A96" s="145" t="s">
        <v>687</v>
      </c>
      <c r="B96" s="145"/>
      <c r="C96" s="145"/>
      <c r="D96" s="145"/>
      <c r="E96" s="145"/>
      <c r="F96" s="5"/>
      <c r="G96" s="5"/>
      <c r="H96" s="5"/>
      <c r="I96" s="34"/>
    </row>
    <row r="97" spans="1:9" ht="33" customHeight="1" hidden="1">
      <c r="A97" s="145" t="s">
        <v>841</v>
      </c>
      <c r="B97" s="145"/>
      <c r="C97" s="145"/>
      <c r="D97" s="145"/>
      <c r="E97" s="145"/>
      <c r="F97" s="5"/>
      <c r="G97" s="5"/>
      <c r="H97" s="5"/>
      <c r="I97" s="34">
        <f>1490-511.8</f>
        <v>978.2</v>
      </c>
    </row>
    <row r="98" spans="1:9" ht="18" customHeight="1" hidden="1">
      <c r="A98" s="145" t="s">
        <v>723</v>
      </c>
      <c r="B98" s="145"/>
      <c r="C98" s="145"/>
      <c r="D98" s="145"/>
      <c r="E98" s="145"/>
      <c r="F98" s="5"/>
      <c r="G98" s="5"/>
      <c r="H98" s="5"/>
      <c r="I98" s="34">
        <f>511.8+43</f>
        <v>554.8</v>
      </c>
    </row>
    <row r="99" spans="1:9" ht="33" customHeight="1" hidden="1">
      <c r="A99" s="14" t="s">
        <v>946</v>
      </c>
      <c r="B99" s="16">
        <v>1110</v>
      </c>
      <c r="C99" s="14" t="s">
        <v>870</v>
      </c>
      <c r="D99" s="17" t="s">
        <v>871</v>
      </c>
      <c r="E99" s="15" t="s">
        <v>756</v>
      </c>
      <c r="F99" s="5"/>
      <c r="G99" s="5"/>
      <c r="H99" s="5"/>
      <c r="I99" s="34">
        <v>25466.1</v>
      </c>
    </row>
    <row r="100" spans="1:9" ht="18.75" customHeight="1" hidden="1">
      <c r="A100" s="145" t="s">
        <v>724</v>
      </c>
      <c r="B100" s="145"/>
      <c r="C100" s="145"/>
      <c r="D100" s="145"/>
      <c r="E100" s="145"/>
      <c r="F100" s="5"/>
      <c r="G100" s="5"/>
      <c r="H100" s="5"/>
      <c r="I100" s="34">
        <f>500-200</f>
        <v>300</v>
      </c>
    </row>
    <row r="101" spans="1:9" ht="30" customHeight="1" hidden="1">
      <c r="A101" s="145" t="s">
        <v>1003</v>
      </c>
      <c r="B101" s="145"/>
      <c r="C101" s="145"/>
      <c r="D101" s="145"/>
      <c r="E101" s="145"/>
      <c r="F101" s="5"/>
      <c r="G101" s="5"/>
      <c r="H101" s="5"/>
      <c r="I101" s="34">
        <f>200</f>
        <v>200</v>
      </c>
    </row>
    <row r="102" spans="1:9" ht="18.75" customHeight="1" hidden="1">
      <c r="A102" s="145" t="s">
        <v>725</v>
      </c>
      <c r="B102" s="145"/>
      <c r="C102" s="145"/>
      <c r="D102" s="145"/>
      <c r="E102" s="145"/>
      <c r="F102" s="49"/>
      <c r="G102" s="16"/>
      <c r="H102" s="14"/>
      <c r="I102" s="34"/>
    </row>
    <row r="103" spans="1:9" ht="18.75" customHeight="1" hidden="1">
      <c r="A103" s="145" t="s">
        <v>485</v>
      </c>
      <c r="B103" s="145"/>
      <c r="C103" s="145"/>
      <c r="D103" s="145"/>
      <c r="E103" s="145"/>
      <c r="F103" s="49"/>
      <c r="G103" s="16"/>
      <c r="H103" s="14"/>
      <c r="I103" s="34"/>
    </row>
    <row r="104" spans="1:9" ht="18.75" customHeight="1" hidden="1">
      <c r="A104" s="145" t="s">
        <v>726</v>
      </c>
      <c r="B104" s="145"/>
      <c r="C104" s="145"/>
      <c r="D104" s="145"/>
      <c r="E104" s="145"/>
      <c r="F104" s="49"/>
      <c r="G104" s="16"/>
      <c r="H104" s="14"/>
      <c r="I104" s="34">
        <f>41</f>
        <v>41</v>
      </c>
    </row>
    <row r="105" spans="1:9" ht="18.75" customHeight="1" hidden="1">
      <c r="A105" s="145" t="s">
        <v>384</v>
      </c>
      <c r="B105" s="145"/>
      <c r="C105" s="145"/>
      <c r="D105" s="145"/>
      <c r="E105" s="145"/>
      <c r="F105" s="49"/>
      <c r="G105" s="16"/>
      <c r="H105" s="14"/>
      <c r="I105" s="34"/>
    </row>
    <row r="106" spans="1:9" ht="18.75" customHeight="1" hidden="1">
      <c r="A106" s="145" t="s">
        <v>49</v>
      </c>
      <c r="B106" s="145"/>
      <c r="C106" s="145"/>
      <c r="D106" s="145"/>
      <c r="E106" s="145"/>
      <c r="F106" s="49"/>
      <c r="G106" s="16"/>
      <c r="H106" s="14"/>
      <c r="I106" s="34"/>
    </row>
    <row r="107" spans="1:9" ht="18.75" customHeight="1" hidden="1">
      <c r="A107" s="145" t="s">
        <v>685</v>
      </c>
      <c r="B107" s="145"/>
      <c r="C107" s="145"/>
      <c r="D107" s="145"/>
      <c r="E107" s="145"/>
      <c r="F107" s="49"/>
      <c r="G107" s="16"/>
      <c r="H107" s="14"/>
      <c r="I107" s="34">
        <f>751.2-395.9</f>
        <v>355.30000000000007</v>
      </c>
    </row>
    <row r="108" spans="1:9" ht="48.75" customHeight="1" hidden="1">
      <c r="A108" s="145" t="s">
        <v>695</v>
      </c>
      <c r="B108" s="145"/>
      <c r="C108" s="145"/>
      <c r="D108" s="145"/>
      <c r="E108" s="145"/>
      <c r="F108" s="49"/>
      <c r="G108" s="16"/>
      <c r="H108" s="14"/>
      <c r="I108" s="34">
        <v>395.9</v>
      </c>
    </row>
    <row r="109" spans="1:9" ht="18.75" customHeight="1" hidden="1">
      <c r="A109" s="145" t="s">
        <v>828</v>
      </c>
      <c r="B109" s="145"/>
      <c r="C109" s="145"/>
      <c r="D109" s="145"/>
      <c r="E109" s="145"/>
      <c r="F109" s="49"/>
      <c r="G109" s="16"/>
      <c r="H109" s="14"/>
      <c r="I109" s="34">
        <v>2300</v>
      </c>
    </row>
    <row r="110" spans="1:9" ht="18.75" customHeight="1" hidden="1">
      <c r="A110" s="145" t="s">
        <v>829</v>
      </c>
      <c r="B110" s="145"/>
      <c r="C110" s="145"/>
      <c r="D110" s="145"/>
      <c r="E110" s="145"/>
      <c r="F110" s="49"/>
      <c r="G110" s="16"/>
      <c r="H110" s="14"/>
      <c r="I110" s="34">
        <v>630</v>
      </c>
    </row>
    <row r="111" spans="1:9" ht="18.75" customHeight="1" hidden="1">
      <c r="A111" s="145" t="s">
        <v>686</v>
      </c>
      <c r="B111" s="145"/>
      <c r="C111" s="145"/>
      <c r="D111" s="145"/>
      <c r="E111" s="145"/>
      <c r="F111" s="49"/>
      <c r="G111" s="16"/>
      <c r="H111" s="14"/>
      <c r="I111" s="34"/>
    </row>
    <row r="112" spans="1:9" ht="18.75" customHeight="1" hidden="1">
      <c r="A112" s="145" t="s">
        <v>140</v>
      </c>
      <c r="B112" s="145"/>
      <c r="C112" s="145"/>
      <c r="D112" s="145"/>
      <c r="E112" s="145"/>
      <c r="F112" s="49"/>
      <c r="G112" s="16"/>
      <c r="H112" s="14"/>
      <c r="I112" s="34">
        <v>80</v>
      </c>
    </row>
    <row r="113" spans="1:9" ht="18.75" customHeight="1" hidden="1">
      <c r="A113" s="145" t="s">
        <v>602</v>
      </c>
      <c r="B113" s="145"/>
      <c r="C113" s="145"/>
      <c r="D113" s="145"/>
      <c r="E113" s="145"/>
      <c r="F113" s="49"/>
      <c r="G113" s="16"/>
      <c r="H113" s="14"/>
      <c r="I113" s="34"/>
    </row>
    <row r="114" spans="1:9" ht="30.75" customHeight="1" hidden="1">
      <c r="A114" s="145" t="s">
        <v>974</v>
      </c>
      <c r="B114" s="145"/>
      <c r="C114" s="145"/>
      <c r="D114" s="145"/>
      <c r="E114" s="145"/>
      <c r="F114" s="49"/>
      <c r="G114" s="16"/>
      <c r="H114" s="14"/>
      <c r="I114" s="34"/>
    </row>
    <row r="115" spans="1:9" ht="36" customHeight="1" hidden="1">
      <c r="A115" s="145" t="s">
        <v>975</v>
      </c>
      <c r="B115" s="145"/>
      <c r="C115" s="145"/>
      <c r="D115" s="145"/>
      <c r="E115" s="145"/>
      <c r="F115" s="49"/>
      <c r="G115" s="16"/>
      <c r="H115" s="14"/>
      <c r="I115" s="34"/>
    </row>
    <row r="116" spans="1:9" ht="32.25" customHeight="1" hidden="1">
      <c r="A116" s="145" t="s">
        <v>64</v>
      </c>
      <c r="B116" s="145"/>
      <c r="C116" s="145"/>
      <c r="D116" s="145"/>
      <c r="E116" s="145"/>
      <c r="F116" s="49"/>
      <c r="G116" s="16"/>
      <c r="H116" s="14"/>
      <c r="I116" s="34"/>
    </row>
    <row r="117" spans="1:9" ht="18.75" customHeight="1" hidden="1">
      <c r="A117" s="145" t="s">
        <v>65</v>
      </c>
      <c r="B117" s="145"/>
      <c r="C117" s="145"/>
      <c r="D117" s="145"/>
      <c r="E117" s="145"/>
      <c r="F117" s="49"/>
      <c r="G117" s="16"/>
      <c r="H117" s="14"/>
      <c r="I117" s="34"/>
    </row>
    <row r="118" spans="1:9" ht="18.75" customHeight="1" hidden="1">
      <c r="A118" s="145" t="s">
        <v>66</v>
      </c>
      <c r="B118" s="145"/>
      <c r="C118" s="145"/>
      <c r="D118" s="145"/>
      <c r="E118" s="145"/>
      <c r="F118" s="49"/>
      <c r="G118" s="16"/>
      <c r="H118" s="14"/>
      <c r="I118" s="34"/>
    </row>
    <row r="119" spans="1:9" ht="18.75" customHeight="1" hidden="1">
      <c r="A119" s="145" t="s">
        <v>67</v>
      </c>
      <c r="B119" s="145"/>
      <c r="C119" s="145"/>
      <c r="D119" s="145"/>
      <c r="E119" s="145"/>
      <c r="F119" s="49"/>
      <c r="G119" s="16"/>
      <c r="H119" s="14"/>
      <c r="I119" s="34"/>
    </row>
    <row r="120" spans="1:9" ht="18.75" customHeight="1" hidden="1">
      <c r="A120" s="145" t="s">
        <v>68</v>
      </c>
      <c r="B120" s="145"/>
      <c r="C120" s="145"/>
      <c r="D120" s="145"/>
      <c r="E120" s="145"/>
      <c r="F120" s="49"/>
      <c r="G120" s="16"/>
      <c r="H120" s="14"/>
      <c r="I120" s="34">
        <f>1700-1700</f>
        <v>0</v>
      </c>
    </row>
    <row r="121" spans="1:9" ht="34.5" customHeight="1" hidden="1">
      <c r="A121" s="145" t="s">
        <v>956</v>
      </c>
      <c r="B121" s="145"/>
      <c r="C121" s="145"/>
      <c r="D121" s="145"/>
      <c r="E121" s="145"/>
      <c r="F121" s="49"/>
      <c r="G121" s="16"/>
      <c r="H121" s="14"/>
      <c r="I121" s="34">
        <v>1700</v>
      </c>
    </row>
    <row r="122" spans="1:9" ht="31.5" customHeight="1" hidden="1">
      <c r="A122" s="145" t="s">
        <v>480</v>
      </c>
      <c r="B122" s="145"/>
      <c r="C122" s="145"/>
      <c r="D122" s="145"/>
      <c r="E122" s="145"/>
      <c r="F122" s="49"/>
      <c r="G122" s="16"/>
      <c r="H122" s="14"/>
      <c r="I122" s="34">
        <v>2000</v>
      </c>
    </row>
    <row r="123" spans="1:9" ht="18.75" customHeight="1" hidden="1">
      <c r="A123" s="145" t="s">
        <v>161</v>
      </c>
      <c r="B123" s="145"/>
      <c r="C123" s="145"/>
      <c r="D123" s="145"/>
      <c r="E123" s="145"/>
      <c r="F123" s="49"/>
      <c r="G123" s="16"/>
      <c r="H123" s="14"/>
      <c r="I123" s="34"/>
    </row>
    <row r="124" spans="1:9" ht="18.75" customHeight="1" hidden="1">
      <c r="A124" s="145" t="s">
        <v>679</v>
      </c>
      <c r="B124" s="145"/>
      <c r="C124" s="145"/>
      <c r="D124" s="145"/>
      <c r="E124" s="145"/>
      <c r="F124" s="49"/>
      <c r="G124" s="16"/>
      <c r="H124" s="14"/>
      <c r="I124" s="34"/>
    </row>
    <row r="125" spans="1:9" ht="18.75" customHeight="1" hidden="1">
      <c r="A125" s="145" t="s">
        <v>162</v>
      </c>
      <c r="B125" s="145"/>
      <c r="C125" s="145"/>
      <c r="D125" s="145"/>
      <c r="E125" s="145"/>
      <c r="F125" s="49"/>
      <c r="G125" s="16"/>
      <c r="H125" s="14"/>
      <c r="I125" s="34"/>
    </row>
    <row r="126" spans="1:9" ht="37.5" customHeight="1" hidden="1">
      <c r="A126" s="145" t="s">
        <v>757</v>
      </c>
      <c r="B126" s="145"/>
      <c r="C126" s="145"/>
      <c r="D126" s="145"/>
      <c r="E126" s="145"/>
      <c r="F126" s="49"/>
      <c r="G126" s="16"/>
      <c r="H126" s="14"/>
      <c r="I126" s="34">
        <f>2950+1000</f>
        <v>3950</v>
      </c>
    </row>
    <row r="127" spans="1:9" ht="51.75" customHeight="1" hidden="1">
      <c r="A127" s="145" t="s">
        <v>163</v>
      </c>
      <c r="B127" s="145"/>
      <c r="C127" s="145"/>
      <c r="D127" s="145"/>
      <c r="E127" s="145"/>
      <c r="F127" s="49"/>
      <c r="G127" s="16"/>
      <c r="H127" s="14"/>
      <c r="I127" s="34"/>
    </row>
    <row r="128" spans="1:9" ht="36.75" customHeight="1" hidden="1">
      <c r="A128" s="145" t="s">
        <v>1029</v>
      </c>
      <c r="B128" s="145"/>
      <c r="C128" s="145"/>
      <c r="D128" s="145"/>
      <c r="E128" s="145"/>
      <c r="F128" s="49"/>
      <c r="G128" s="16"/>
      <c r="H128" s="14"/>
      <c r="I128" s="34"/>
    </row>
    <row r="129" spans="1:9" ht="18.75" customHeight="1" hidden="1">
      <c r="A129" s="145" t="s">
        <v>481</v>
      </c>
      <c r="B129" s="145"/>
      <c r="C129" s="145"/>
      <c r="D129" s="145"/>
      <c r="E129" s="145"/>
      <c r="F129" s="49"/>
      <c r="G129" s="16"/>
      <c r="H129" s="14"/>
      <c r="I129" s="34">
        <f>1152+400</f>
        <v>1552</v>
      </c>
    </row>
    <row r="130" spans="1:9" ht="18.75" customHeight="1" hidden="1">
      <c r="A130" s="145" t="s">
        <v>1030</v>
      </c>
      <c r="B130" s="145"/>
      <c r="C130" s="145"/>
      <c r="D130" s="145"/>
      <c r="E130" s="145"/>
      <c r="F130" s="49"/>
      <c r="G130" s="16"/>
      <c r="H130" s="14"/>
      <c r="I130" s="34"/>
    </row>
    <row r="131" spans="1:9" ht="35.25" customHeight="1" hidden="1">
      <c r="A131" s="145" t="s">
        <v>479</v>
      </c>
      <c r="B131" s="145"/>
      <c r="C131" s="145"/>
      <c r="D131" s="145"/>
      <c r="E131" s="145"/>
      <c r="F131" s="49"/>
      <c r="G131" s="16"/>
      <c r="H131" s="14"/>
      <c r="I131" s="34">
        <v>1100</v>
      </c>
    </row>
    <row r="132" spans="1:9" ht="15.75" hidden="1">
      <c r="A132" s="148" t="s">
        <v>1074</v>
      </c>
      <c r="B132" s="149"/>
      <c r="C132" s="149"/>
      <c r="D132" s="149"/>
      <c r="E132" s="150"/>
      <c r="F132" s="49"/>
      <c r="G132" s="16"/>
      <c r="H132" s="14"/>
      <c r="I132" s="34">
        <v>264</v>
      </c>
    </row>
    <row r="133" spans="1:9" ht="18.75" customHeight="1" hidden="1">
      <c r="A133" s="145" t="s">
        <v>1031</v>
      </c>
      <c r="B133" s="145"/>
      <c r="C133" s="145"/>
      <c r="D133" s="145"/>
      <c r="E133" s="145"/>
      <c r="F133" s="49"/>
      <c r="G133" s="16"/>
      <c r="H133" s="14"/>
      <c r="I133" s="34"/>
    </row>
    <row r="134" spans="1:9" ht="18.75" customHeight="1" hidden="1">
      <c r="A134" s="148" t="s">
        <v>477</v>
      </c>
      <c r="B134" s="149"/>
      <c r="C134" s="149"/>
      <c r="D134" s="149"/>
      <c r="E134" s="150"/>
      <c r="F134" s="49"/>
      <c r="G134" s="16"/>
      <c r="H134" s="14"/>
      <c r="I134" s="34">
        <v>200</v>
      </c>
    </row>
    <row r="135" spans="1:9" ht="18.75" customHeight="1" hidden="1">
      <c r="A135" s="148" t="s">
        <v>478</v>
      </c>
      <c r="B135" s="149"/>
      <c r="C135" s="149"/>
      <c r="D135" s="149"/>
      <c r="E135" s="150"/>
      <c r="F135" s="49"/>
      <c r="G135" s="16"/>
      <c r="H135" s="14"/>
      <c r="I135" s="34">
        <v>442</v>
      </c>
    </row>
    <row r="136" spans="1:9" ht="45" hidden="1">
      <c r="A136" s="14" t="s">
        <v>872</v>
      </c>
      <c r="B136" s="16">
        <v>1120</v>
      </c>
      <c r="C136" s="14" t="s">
        <v>873</v>
      </c>
      <c r="D136" s="17" t="s">
        <v>874</v>
      </c>
      <c r="E136" s="15" t="s">
        <v>756</v>
      </c>
      <c r="F136" s="5"/>
      <c r="G136" s="5"/>
      <c r="H136" s="5"/>
      <c r="I136" s="34"/>
    </row>
    <row r="137" spans="1:9" ht="34.5" customHeight="1" hidden="1">
      <c r="A137" s="145" t="s">
        <v>957</v>
      </c>
      <c r="B137" s="145"/>
      <c r="C137" s="145"/>
      <c r="D137" s="145"/>
      <c r="E137" s="145"/>
      <c r="F137" s="5"/>
      <c r="G137" s="5"/>
      <c r="H137" s="5"/>
      <c r="I137" s="34"/>
    </row>
    <row r="138" spans="1:9" ht="33.75" customHeight="1" hidden="1">
      <c r="A138" s="145" t="s">
        <v>908</v>
      </c>
      <c r="B138" s="145"/>
      <c r="C138" s="145"/>
      <c r="D138" s="145"/>
      <c r="E138" s="145"/>
      <c r="F138" s="5"/>
      <c r="G138" s="5"/>
      <c r="H138" s="5"/>
      <c r="I138" s="34"/>
    </row>
    <row r="139" spans="1:9" ht="30" hidden="1">
      <c r="A139" s="14" t="s">
        <v>875</v>
      </c>
      <c r="B139" s="16">
        <v>1140</v>
      </c>
      <c r="C139" s="14" t="s">
        <v>876</v>
      </c>
      <c r="D139" s="17" t="s">
        <v>877</v>
      </c>
      <c r="E139" s="15" t="s">
        <v>756</v>
      </c>
      <c r="F139" s="5"/>
      <c r="G139" s="5"/>
      <c r="H139" s="5"/>
      <c r="I139" s="34"/>
    </row>
    <row r="140" spans="1:9" ht="32.25" customHeight="1" hidden="1">
      <c r="A140" s="145" t="s">
        <v>334</v>
      </c>
      <c r="B140" s="145"/>
      <c r="C140" s="145"/>
      <c r="D140" s="145"/>
      <c r="E140" s="145"/>
      <c r="F140" s="37"/>
      <c r="G140" s="37"/>
      <c r="H140" s="37"/>
      <c r="I140" s="34"/>
    </row>
    <row r="141" spans="1:9" ht="13.5" customHeight="1" hidden="1">
      <c r="A141" s="145" t="s">
        <v>335</v>
      </c>
      <c r="B141" s="145"/>
      <c r="C141" s="145"/>
      <c r="D141" s="145"/>
      <c r="E141" s="145"/>
      <c r="F141" s="37"/>
      <c r="G141" s="37"/>
      <c r="H141" s="37"/>
      <c r="I141" s="34"/>
    </row>
    <row r="142" spans="1:9" ht="16.5" customHeight="1" hidden="1">
      <c r="A142" s="145" t="s">
        <v>336</v>
      </c>
      <c r="B142" s="145"/>
      <c r="C142" s="145"/>
      <c r="D142" s="145"/>
      <c r="E142" s="145"/>
      <c r="F142" s="37"/>
      <c r="G142" s="37"/>
      <c r="H142" s="37"/>
      <c r="I142" s="34"/>
    </row>
    <row r="143" spans="1:9" ht="27.75" customHeight="1" hidden="1">
      <c r="A143" s="145" t="s">
        <v>446</v>
      </c>
      <c r="B143" s="145"/>
      <c r="C143" s="145"/>
      <c r="D143" s="145"/>
      <c r="E143" s="145"/>
      <c r="F143" s="37"/>
      <c r="G143" s="37"/>
      <c r="H143" s="37"/>
      <c r="I143" s="34"/>
    </row>
    <row r="144" spans="1:9" ht="15.75" hidden="1">
      <c r="A144" s="14"/>
      <c r="B144" s="16"/>
      <c r="C144" s="14"/>
      <c r="D144" s="17"/>
      <c r="E144" s="15"/>
      <c r="F144" s="5"/>
      <c r="G144" s="5"/>
      <c r="H144" s="5"/>
      <c r="I144" s="34"/>
    </row>
    <row r="145" spans="1:9" ht="37.5" customHeight="1" hidden="1">
      <c r="A145" s="12" t="s">
        <v>878</v>
      </c>
      <c r="B145" s="18">
        <v>1160</v>
      </c>
      <c r="C145" s="130" t="s">
        <v>788</v>
      </c>
      <c r="D145" s="130" t="s">
        <v>788</v>
      </c>
      <c r="E145" s="5"/>
      <c r="F145" s="5"/>
      <c r="G145" s="5"/>
      <c r="H145" s="5"/>
      <c r="I145" s="50"/>
    </row>
    <row r="146" spans="1:9" ht="37.5" customHeight="1" hidden="1">
      <c r="A146" s="14" t="s">
        <v>132</v>
      </c>
      <c r="B146" s="16">
        <v>1161</v>
      </c>
      <c r="C146" s="14" t="s">
        <v>939</v>
      </c>
      <c r="D146" s="17" t="s">
        <v>133</v>
      </c>
      <c r="E146" s="15" t="s">
        <v>756</v>
      </c>
      <c r="F146" s="5"/>
      <c r="G146" s="5"/>
      <c r="H146" s="5"/>
      <c r="I146" s="34">
        <v>706</v>
      </c>
    </row>
    <row r="147" spans="1:9" ht="24" hidden="1">
      <c r="A147" s="13"/>
      <c r="B147" s="21"/>
      <c r="C147" s="19"/>
      <c r="D147" s="22" t="s">
        <v>789</v>
      </c>
      <c r="E147" s="5"/>
      <c r="F147" s="5"/>
      <c r="G147" s="5"/>
      <c r="H147" s="5"/>
      <c r="I147" s="5"/>
    </row>
    <row r="148" spans="1:9" ht="36" hidden="1">
      <c r="A148" s="13"/>
      <c r="B148" s="21"/>
      <c r="C148" s="19"/>
      <c r="D148" s="22" t="s">
        <v>790</v>
      </c>
      <c r="E148" s="5"/>
      <c r="F148" s="5"/>
      <c r="G148" s="5"/>
      <c r="H148" s="5"/>
      <c r="I148" s="5"/>
    </row>
    <row r="149" spans="1:9" ht="42" customHeight="1" hidden="1">
      <c r="A149" s="156" t="s">
        <v>765</v>
      </c>
      <c r="B149" s="157"/>
      <c r="C149" s="157"/>
      <c r="D149" s="157"/>
      <c r="E149" s="158"/>
      <c r="F149" s="5"/>
      <c r="G149" s="5"/>
      <c r="H149" s="5"/>
      <c r="I149" s="34">
        <v>580</v>
      </c>
    </row>
    <row r="150" spans="1:9" ht="15.75" hidden="1">
      <c r="A150" s="12" t="s">
        <v>791</v>
      </c>
      <c r="B150" s="18">
        <v>3000</v>
      </c>
      <c r="C150" s="130" t="s">
        <v>275</v>
      </c>
      <c r="D150" s="130"/>
      <c r="E150" s="5"/>
      <c r="F150" s="5"/>
      <c r="G150" s="5"/>
      <c r="H150" s="5"/>
      <c r="I150" s="5"/>
    </row>
    <row r="151" spans="1:9" ht="90" hidden="1">
      <c r="A151" s="14" t="s">
        <v>792</v>
      </c>
      <c r="B151" s="16">
        <v>3140</v>
      </c>
      <c r="C151" s="14" t="s">
        <v>793</v>
      </c>
      <c r="D151" s="15" t="s">
        <v>794</v>
      </c>
      <c r="E151" s="5"/>
      <c r="F151" s="5"/>
      <c r="G151" s="5"/>
      <c r="H151" s="5"/>
      <c r="I151" s="5"/>
    </row>
    <row r="152" spans="1:9" ht="38.25" customHeight="1" hidden="1">
      <c r="A152" s="145" t="s">
        <v>447</v>
      </c>
      <c r="B152" s="145"/>
      <c r="C152" s="145"/>
      <c r="D152" s="145"/>
      <c r="E152" s="145"/>
      <c r="F152" s="51"/>
      <c r="G152" s="51"/>
      <c r="H152" s="51"/>
      <c r="I152" s="34"/>
    </row>
    <row r="153" spans="1:9" ht="34.5" customHeight="1" hidden="1">
      <c r="A153" s="145" t="s">
        <v>954</v>
      </c>
      <c r="B153" s="145"/>
      <c r="C153" s="145"/>
      <c r="D153" s="145"/>
      <c r="E153" s="145"/>
      <c r="F153" s="51"/>
      <c r="G153" s="51"/>
      <c r="H153" s="51"/>
      <c r="I153" s="34"/>
    </row>
    <row r="154" spans="1:9" ht="30.75" customHeight="1" hidden="1">
      <c r="A154" s="145" t="s">
        <v>955</v>
      </c>
      <c r="B154" s="145"/>
      <c r="C154" s="145"/>
      <c r="D154" s="145"/>
      <c r="E154" s="145"/>
      <c r="F154" s="51"/>
      <c r="G154" s="51"/>
      <c r="H154" s="51"/>
      <c r="I154" s="34"/>
    </row>
    <row r="155" spans="1:9" ht="15.75" hidden="1">
      <c r="A155" s="12" t="s">
        <v>795</v>
      </c>
      <c r="B155" s="18">
        <v>4000</v>
      </c>
      <c r="C155" s="130" t="s">
        <v>796</v>
      </c>
      <c r="D155" s="130"/>
      <c r="E155" s="5"/>
      <c r="F155" s="5"/>
      <c r="G155" s="5"/>
      <c r="H155" s="5"/>
      <c r="I155" s="50"/>
    </row>
    <row r="156" spans="1:9" ht="45" hidden="1">
      <c r="A156" s="14" t="s">
        <v>797</v>
      </c>
      <c r="B156" s="16">
        <v>4060</v>
      </c>
      <c r="C156" s="14" t="s">
        <v>577</v>
      </c>
      <c r="D156" s="17" t="s">
        <v>578</v>
      </c>
      <c r="E156" s="15" t="s">
        <v>756</v>
      </c>
      <c r="F156" s="5"/>
      <c r="G156" s="5"/>
      <c r="H156" s="5"/>
      <c r="I156" s="34"/>
    </row>
    <row r="157" spans="1:9" ht="28.5" hidden="1">
      <c r="A157" s="12" t="s">
        <v>579</v>
      </c>
      <c r="B157" s="18">
        <v>7300</v>
      </c>
      <c r="C157" s="12"/>
      <c r="D157" s="23" t="s">
        <v>580</v>
      </c>
      <c r="E157" s="5"/>
      <c r="F157" s="5"/>
      <c r="G157" s="5"/>
      <c r="H157" s="5"/>
      <c r="I157" s="5"/>
    </row>
    <row r="158" spans="1:9" ht="15.75" hidden="1">
      <c r="A158" s="14" t="s">
        <v>581</v>
      </c>
      <c r="B158" s="16">
        <v>7321</v>
      </c>
      <c r="C158" s="14" t="s">
        <v>582</v>
      </c>
      <c r="D158" s="17" t="s">
        <v>169</v>
      </c>
      <c r="E158" s="5"/>
      <c r="F158" s="5"/>
      <c r="G158" s="5"/>
      <c r="H158" s="5"/>
      <c r="I158" s="5"/>
    </row>
    <row r="159" spans="1:9" ht="18.75" customHeight="1" hidden="1">
      <c r="A159" s="144" t="s">
        <v>315</v>
      </c>
      <c r="B159" s="144"/>
      <c r="C159" s="144"/>
      <c r="D159" s="144"/>
      <c r="E159" s="144"/>
      <c r="F159" s="37"/>
      <c r="G159" s="37"/>
      <c r="H159" s="37"/>
      <c r="I159" s="34"/>
    </row>
    <row r="160" spans="1:9" s="79" customFormat="1" ht="62.25" customHeight="1" hidden="1">
      <c r="A160" s="14" t="s">
        <v>498</v>
      </c>
      <c r="B160" s="14" t="s">
        <v>100</v>
      </c>
      <c r="C160" s="14"/>
      <c r="D160" s="71" t="s">
        <v>748</v>
      </c>
      <c r="E160" s="15" t="s">
        <v>756</v>
      </c>
      <c r="F160" s="14"/>
      <c r="G160" s="14"/>
      <c r="H160" s="14"/>
      <c r="I160" s="34">
        <f>I161</f>
        <v>375</v>
      </c>
    </row>
    <row r="161" spans="1:9" ht="31.5" customHeight="1" hidden="1">
      <c r="A161" s="147" t="s">
        <v>499</v>
      </c>
      <c r="B161" s="134"/>
      <c r="C161" s="134"/>
      <c r="D161" s="134"/>
      <c r="E161" s="135"/>
      <c r="F161" s="37"/>
      <c r="G161" s="37"/>
      <c r="H161" s="37"/>
      <c r="I161" s="58">
        <v>375</v>
      </c>
    </row>
    <row r="162" spans="1:9" ht="55.5" customHeight="1">
      <c r="A162" s="14" t="s">
        <v>991</v>
      </c>
      <c r="B162" s="14">
        <v>7363</v>
      </c>
      <c r="C162" s="14" t="s">
        <v>936</v>
      </c>
      <c r="D162" s="71" t="s">
        <v>952</v>
      </c>
      <c r="E162" s="15" t="s">
        <v>756</v>
      </c>
      <c r="F162" s="14"/>
      <c r="G162" s="14"/>
      <c r="H162" s="14"/>
      <c r="I162" s="34">
        <v>584.1</v>
      </c>
    </row>
    <row r="163" spans="1:9" ht="31.5" customHeight="1" hidden="1">
      <c r="A163" s="147" t="s">
        <v>992</v>
      </c>
      <c r="B163" s="134"/>
      <c r="C163" s="134"/>
      <c r="D163" s="134"/>
      <c r="E163" s="135"/>
      <c r="F163" s="37"/>
      <c r="G163" s="37"/>
      <c r="H163" s="37"/>
      <c r="I163" s="58">
        <f>50+1.5</f>
        <v>51.5</v>
      </c>
    </row>
    <row r="164" spans="1:9" ht="31.5" customHeight="1" hidden="1">
      <c r="A164" s="147" t="s">
        <v>236</v>
      </c>
      <c r="B164" s="134"/>
      <c r="C164" s="134"/>
      <c r="D164" s="134"/>
      <c r="E164" s="135"/>
      <c r="F164" s="37"/>
      <c r="G164" s="37"/>
      <c r="H164" s="37"/>
      <c r="I164" s="58">
        <v>100</v>
      </c>
    </row>
    <row r="165" spans="1:10" ht="50.25" customHeight="1">
      <c r="A165" s="147" t="s">
        <v>53</v>
      </c>
      <c r="B165" s="134"/>
      <c r="C165" s="134"/>
      <c r="D165" s="134"/>
      <c r="E165" s="135"/>
      <c r="F165" s="37"/>
      <c r="G165" s="37"/>
      <c r="H165" s="37"/>
      <c r="I165" s="58">
        <f>200+6</f>
        <v>206</v>
      </c>
      <c r="J165" s="195"/>
    </row>
    <row r="166" spans="1:10" ht="31.5" customHeight="1">
      <c r="A166" s="147" t="s">
        <v>55</v>
      </c>
      <c r="B166" s="134"/>
      <c r="C166" s="134"/>
      <c r="D166" s="134"/>
      <c r="E166" s="135"/>
      <c r="F166" s="37"/>
      <c r="G166" s="37"/>
      <c r="H166" s="37"/>
      <c r="I166" s="58">
        <f>20+0.6</f>
        <v>20.6</v>
      </c>
      <c r="J166" s="195"/>
    </row>
    <row r="167" spans="1:10" ht="31.5" customHeight="1">
      <c r="A167" s="147" t="s">
        <v>56</v>
      </c>
      <c r="B167" s="134"/>
      <c r="C167" s="134"/>
      <c r="D167" s="134"/>
      <c r="E167" s="135"/>
      <c r="F167" s="37"/>
      <c r="G167" s="37"/>
      <c r="H167" s="37"/>
      <c r="I167" s="58">
        <f>20+0.6</f>
        <v>20.6</v>
      </c>
      <c r="J167" s="195"/>
    </row>
    <row r="168" spans="1:10" ht="31.5" customHeight="1">
      <c r="A168" s="147" t="s">
        <v>57</v>
      </c>
      <c r="B168" s="134"/>
      <c r="C168" s="134"/>
      <c r="D168" s="134"/>
      <c r="E168" s="135"/>
      <c r="F168" s="37"/>
      <c r="G168" s="37"/>
      <c r="H168" s="37"/>
      <c r="I168" s="58">
        <f>10+0.3</f>
        <v>10.3</v>
      </c>
      <c r="J168" s="195"/>
    </row>
    <row r="169" spans="1:10" ht="31.5" customHeight="1">
      <c r="A169" s="147" t="s">
        <v>58</v>
      </c>
      <c r="B169" s="134"/>
      <c r="C169" s="134"/>
      <c r="D169" s="134"/>
      <c r="E169" s="135"/>
      <c r="F169" s="37"/>
      <c r="G169" s="37"/>
      <c r="H169" s="37"/>
      <c r="I169" s="58">
        <f>30+0.9</f>
        <v>30.9</v>
      </c>
      <c r="J169" s="195"/>
    </row>
    <row r="170" spans="1:10" ht="31.5" customHeight="1">
      <c r="A170" s="147" t="s">
        <v>59</v>
      </c>
      <c r="B170" s="134"/>
      <c r="C170" s="134"/>
      <c r="D170" s="134"/>
      <c r="E170" s="135"/>
      <c r="F170" s="37"/>
      <c r="G170" s="37"/>
      <c r="H170" s="37"/>
      <c r="I170" s="58">
        <f>140+4.2</f>
        <v>144.2</v>
      </c>
      <c r="J170" s="195"/>
    </row>
    <row r="171" spans="1:9" ht="31.5" customHeight="1" hidden="1">
      <c r="A171" s="147"/>
      <c r="B171" s="134"/>
      <c r="C171" s="134"/>
      <c r="D171" s="134"/>
      <c r="E171" s="135"/>
      <c r="F171" s="37"/>
      <c r="G171" s="37"/>
      <c r="H171" s="37"/>
      <c r="I171" s="58"/>
    </row>
    <row r="172" spans="1:9" ht="24" customHeight="1">
      <c r="A172" s="12" t="s">
        <v>583</v>
      </c>
      <c r="B172" s="155" t="s">
        <v>257</v>
      </c>
      <c r="C172" s="155"/>
      <c r="D172" s="155"/>
      <c r="E172" s="5"/>
      <c r="F172" s="5"/>
      <c r="G172" s="5"/>
      <c r="H172" s="5"/>
      <c r="I172" s="77">
        <f>I173</f>
        <v>2310.1</v>
      </c>
    </row>
    <row r="173" spans="1:9" ht="15.75">
      <c r="A173" s="13" t="s">
        <v>584</v>
      </c>
      <c r="B173" s="196" t="s">
        <v>257</v>
      </c>
      <c r="C173" s="196"/>
      <c r="D173" s="196"/>
      <c r="E173" s="5"/>
      <c r="F173" s="5"/>
      <c r="G173" s="5"/>
      <c r="H173" s="5"/>
      <c r="I173" s="78">
        <f>I394</f>
        <v>2310.1</v>
      </c>
    </row>
    <row r="174" spans="1:9" ht="15.75" hidden="1">
      <c r="A174" s="12" t="s">
        <v>585</v>
      </c>
      <c r="B174" s="18">
        <v>1000</v>
      </c>
      <c r="C174" s="130" t="s">
        <v>516</v>
      </c>
      <c r="D174" s="130"/>
      <c r="E174" s="5"/>
      <c r="F174" s="5"/>
      <c r="G174" s="5"/>
      <c r="H174" s="5"/>
      <c r="I174" s="99"/>
    </row>
    <row r="175" spans="1:9" ht="65.25" customHeight="1">
      <c r="A175" s="14" t="s">
        <v>586</v>
      </c>
      <c r="B175" s="16" t="s">
        <v>587</v>
      </c>
      <c r="C175" s="14" t="s">
        <v>873</v>
      </c>
      <c r="D175" s="17" t="s">
        <v>863</v>
      </c>
      <c r="E175" s="15" t="s">
        <v>756</v>
      </c>
      <c r="F175" s="5"/>
      <c r="G175" s="5"/>
      <c r="H175" s="5"/>
      <c r="I175" s="34">
        <v>1505</v>
      </c>
    </row>
    <row r="176" spans="1:9" ht="15.75" hidden="1">
      <c r="A176" s="147" t="s">
        <v>1056</v>
      </c>
      <c r="B176" s="134"/>
      <c r="C176" s="134"/>
      <c r="D176" s="134"/>
      <c r="E176" s="135"/>
      <c r="F176" s="5"/>
      <c r="G176" s="5"/>
      <c r="H176" s="5"/>
      <c r="I176" s="34">
        <v>100</v>
      </c>
    </row>
    <row r="177" spans="1:9" ht="29.25" customHeight="1">
      <c r="A177" s="147" t="s">
        <v>451</v>
      </c>
      <c r="B177" s="134"/>
      <c r="C177" s="134"/>
      <c r="D177" s="134"/>
      <c r="E177" s="135"/>
      <c r="F177" s="5"/>
      <c r="G177" s="5"/>
      <c r="H177" s="5"/>
      <c r="I177" s="34">
        <v>50</v>
      </c>
    </row>
    <row r="178" spans="1:9" ht="17.25" customHeight="1" hidden="1">
      <c r="A178" s="144" t="s">
        <v>1061</v>
      </c>
      <c r="B178" s="144"/>
      <c r="C178" s="144"/>
      <c r="D178" s="144"/>
      <c r="E178" s="144"/>
      <c r="F178" s="52"/>
      <c r="G178" s="52"/>
      <c r="H178" s="52"/>
      <c r="I178" s="34"/>
    </row>
    <row r="179" spans="1:9" ht="28.5" customHeight="1" hidden="1">
      <c r="A179" s="144" t="s">
        <v>778</v>
      </c>
      <c r="B179" s="144"/>
      <c r="C179" s="144"/>
      <c r="D179" s="144"/>
      <c r="E179" s="144"/>
      <c r="F179" s="52"/>
      <c r="G179" s="52"/>
      <c r="H179" s="52"/>
      <c r="I179" s="34">
        <f>200-200</f>
        <v>0</v>
      </c>
    </row>
    <row r="180" spans="1:9" ht="32.25" customHeight="1" hidden="1">
      <c r="A180" s="144" t="s">
        <v>665</v>
      </c>
      <c r="B180" s="144"/>
      <c r="C180" s="144"/>
      <c r="D180" s="144"/>
      <c r="E180" s="144"/>
      <c r="F180" s="51"/>
      <c r="G180" s="51"/>
      <c r="H180" s="51"/>
      <c r="I180" s="34"/>
    </row>
    <row r="181" spans="1:9" ht="33" customHeight="1" hidden="1">
      <c r="A181" s="144" t="s">
        <v>666</v>
      </c>
      <c r="B181" s="144"/>
      <c r="C181" s="144"/>
      <c r="D181" s="144"/>
      <c r="E181" s="144"/>
      <c r="F181" s="52"/>
      <c r="G181" s="52"/>
      <c r="H181" s="52"/>
      <c r="I181" s="34">
        <f>200-200</f>
        <v>0</v>
      </c>
    </row>
    <row r="182" spans="1:9" ht="30" customHeight="1">
      <c r="A182" s="144" t="s">
        <v>667</v>
      </c>
      <c r="B182" s="144"/>
      <c r="C182" s="144"/>
      <c r="D182" s="144"/>
      <c r="E182" s="144"/>
      <c r="F182" s="52"/>
      <c r="G182" s="52"/>
      <c r="H182" s="52"/>
      <c r="I182" s="34">
        <f>190-71</f>
        <v>119</v>
      </c>
    </row>
    <row r="183" spans="1:9" ht="33" customHeight="1" hidden="1">
      <c r="A183" s="144" t="s">
        <v>101</v>
      </c>
      <c r="B183" s="144"/>
      <c r="C183" s="144"/>
      <c r="D183" s="144"/>
      <c r="E183" s="144"/>
      <c r="F183" s="92"/>
      <c r="G183" s="92"/>
      <c r="H183" s="92"/>
      <c r="I183" s="34">
        <f>110-110</f>
        <v>0</v>
      </c>
    </row>
    <row r="184" spans="1:9" ht="33" customHeight="1" hidden="1">
      <c r="A184" s="144" t="s">
        <v>772</v>
      </c>
      <c r="B184" s="144"/>
      <c r="C184" s="144"/>
      <c r="D184" s="144"/>
      <c r="E184" s="144"/>
      <c r="F184" s="92"/>
      <c r="G184" s="92"/>
      <c r="H184" s="92"/>
      <c r="I184" s="34">
        <v>30</v>
      </c>
    </row>
    <row r="185" spans="1:9" ht="33" customHeight="1" hidden="1">
      <c r="A185" s="144" t="s">
        <v>117</v>
      </c>
      <c r="B185" s="144"/>
      <c r="C185" s="144"/>
      <c r="D185" s="144"/>
      <c r="E185" s="144"/>
      <c r="F185" s="92"/>
      <c r="G185" s="92"/>
      <c r="H185" s="92"/>
      <c r="I185" s="34">
        <v>45</v>
      </c>
    </row>
    <row r="186" spans="1:9" ht="33" customHeight="1">
      <c r="A186" s="144" t="s">
        <v>500</v>
      </c>
      <c r="B186" s="144"/>
      <c r="C186" s="144"/>
      <c r="D186" s="144"/>
      <c r="E186" s="144"/>
      <c r="F186" s="92"/>
      <c r="G186" s="92"/>
      <c r="H186" s="92"/>
      <c r="I186" s="34">
        <v>71</v>
      </c>
    </row>
    <row r="187" spans="1:9" ht="33" customHeight="1" hidden="1">
      <c r="A187" s="14" t="s">
        <v>363</v>
      </c>
      <c r="B187" s="16" t="s">
        <v>365</v>
      </c>
      <c r="C187" s="14" t="s">
        <v>364</v>
      </c>
      <c r="D187" s="17" t="s">
        <v>320</v>
      </c>
      <c r="E187" s="15" t="s">
        <v>756</v>
      </c>
      <c r="F187" s="5"/>
      <c r="G187" s="5"/>
      <c r="H187" s="5"/>
      <c r="I187" s="34">
        <v>60</v>
      </c>
    </row>
    <row r="188" spans="1:9" ht="33" customHeight="1" hidden="1">
      <c r="A188" s="147" t="s">
        <v>217</v>
      </c>
      <c r="B188" s="134"/>
      <c r="C188" s="134"/>
      <c r="D188" s="134"/>
      <c r="E188" s="135"/>
      <c r="F188" s="92"/>
      <c r="G188" s="92"/>
      <c r="H188" s="92"/>
      <c r="I188" s="55">
        <v>60</v>
      </c>
    </row>
    <row r="189" spans="1:9" ht="33" customHeight="1" hidden="1">
      <c r="A189" s="147" t="s">
        <v>111</v>
      </c>
      <c r="B189" s="134"/>
      <c r="C189" s="134"/>
      <c r="D189" s="134"/>
      <c r="E189" s="135"/>
      <c r="F189" s="92"/>
      <c r="G189" s="92"/>
      <c r="H189" s="92"/>
      <c r="I189" s="55">
        <f>60-60</f>
        <v>0</v>
      </c>
    </row>
    <row r="190" spans="1:9" ht="33" customHeight="1" hidden="1">
      <c r="A190" s="147" t="s">
        <v>217</v>
      </c>
      <c r="B190" s="134"/>
      <c r="C190" s="134"/>
      <c r="D190" s="134"/>
      <c r="E190" s="135"/>
      <c r="F190" s="92"/>
      <c r="G190" s="92"/>
      <c r="H190" s="92"/>
      <c r="I190" s="55">
        <v>0</v>
      </c>
    </row>
    <row r="191" spans="1:9" ht="15.75" hidden="1">
      <c r="A191" s="12" t="s">
        <v>321</v>
      </c>
      <c r="B191" s="18">
        <v>2000</v>
      </c>
      <c r="C191" s="170" t="s">
        <v>322</v>
      </c>
      <c r="D191" s="170" t="s">
        <v>322</v>
      </c>
      <c r="E191" s="5"/>
      <c r="F191" s="5"/>
      <c r="G191" s="5"/>
      <c r="H191" s="5"/>
      <c r="I191" s="50"/>
    </row>
    <row r="192" spans="1:9" ht="30">
      <c r="A192" s="14" t="s">
        <v>323</v>
      </c>
      <c r="B192" s="16" t="s">
        <v>324</v>
      </c>
      <c r="C192" s="14" t="s">
        <v>325</v>
      </c>
      <c r="D192" s="17" t="s">
        <v>326</v>
      </c>
      <c r="E192" s="15" t="s">
        <v>756</v>
      </c>
      <c r="F192" s="5"/>
      <c r="G192" s="5"/>
      <c r="H192" s="5"/>
      <c r="I192" s="34">
        <v>25793.82</v>
      </c>
    </row>
    <row r="193" spans="1:9" ht="33.75" customHeight="1">
      <c r="A193" s="144" t="s">
        <v>529</v>
      </c>
      <c r="B193" s="144"/>
      <c r="C193" s="144"/>
      <c r="D193" s="144"/>
      <c r="E193" s="144"/>
      <c r="F193" s="51"/>
      <c r="G193" s="51"/>
      <c r="H193" s="51"/>
      <c r="I193" s="34">
        <f>1040+16.18</f>
        <v>1056.18</v>
      </c>
    </row>
    <row r="194" spans="1:9" ht="15.75" customHeight="1" hidden="1">
      <c r="A194" s="144" t="s">
        <v>530</v>
      </c>
      <c r="B194" s="144"/>
      <c r="C194" s="144"/>
      <c r="D194" s="144"/>
      <c r="E194" s="144"/>
      <c r="F194" s="51"/>
      <c r="G194" s="51"/>
      <c r="H194" s="51"/>
      <c r="I194" s="34">
        <f>200-200</f>
        <v>0</v>
      </c>
    </row>
    <row r="195" spans="1:9" ht="33.75" customHeight="1">
      <c r="A195" s="144" t="s">
        <v>674</v>
      </c>
      <c r="B195" s="144"/>
      <c r="C195" s="144"/>
      <c r="D195" s="144"/>
      <c r="E195" s="144"/>
      <c r="F195" s="51"/>
      <c r="G195" s="51"/>
      <c r="H195" s="51"/>
      <c r="I195" s="34">
        <f>900-16.18</f>
        <v>883.82</v>
      </c>
    </row>
    <row r="196" spans="1:9" ht="33.75" customHeight="1" hidden="1">
      <c r="A196" s="144" t="s">
        <v>787</v>
      </c>
      <c r="B196" s="144"/>
      <c r="C196" s="144"/>
      <c r="D196" s="144"/>
      <c r="E196" s="144"/>
      <c r="F196" s="51"/>
      <c r="G196" s="51"/>
      <c r="H196" s="51"/>
      <c r="I196" s="34">
        <v>700</v>
      </c>
    </row>
    <row r="197" spans="1:9" ht="18.75" customHeight="1" hidden="1">
      <c r="A197" s="144" t="s">
        <v>531</v>
      </c>
      <c r="B197" s="144"/>
      <c r="C197" s="144"/>
      <c r="D197" s="144"/>
      <c r="E197" s="144"/>
      <c r="F197" s="52"/>
      <c r="G197" s="52"/>
      <c r="H197" s="52"/>
      <c r="I197" s="34">
        <f>243.32+586-386</f>
        <v>443.31999999999994</v>
      </c>
    </row>
    <row r="198" spans="1:9" ht="18.75" customHeight="1" hidden="1">
      <c r="A198" s="144" t="s">
        <v>845</v>
      </c>
      <c r="B198" s="144"/>
      <c r="C198" s="144"/>
      <c r="D198" s="144"/>
      <c r="E198" s="144"/>
      <c r="F198" s="52"/>
      <c r="G198" s="52"/>
      <c r="H198" s="52"/>
      <c r="I198" s="34">
        <v>104.5</v>
      </c>
    </row>
    <row r="199" spans="1:9" ht="15.75" hidden="1">
      <c r="A199" s="144" t="s">
        <v>758</v>
      </c>
      <c r="B199" s="144"/>
      <c r="C199" s="144"/>
      <c r="D199" s="144"/>
      <c r="E199" s="144"/>
      <c r="F199" s="52"/>
      <c r="G199" s="52"/>
      <c r="H199" s="52"/>
      <c r="I199" s="34">
        <f>1400-1400</f>
        <v>0</v>
      </c>
    </row>
    <row r="200" spans="1:9" ht="15.75" hidden="1">
      <c r="A200" s="147" t="s">
        <v>231</v>
      </c>
      <c r="B200" s="134"/>
      <c r="C200" s="134"/>
      <c r="D200" s="134"/>
      <c r="E200" s="135"/>
      <c r="F200" s="52"/>
      <c r="G200" s="52"/>
      <c r="H200" s="52"/>
      <c r="I200" s="34">
        <f>1400-23.874-299.506-20</f>
        <v>1056.62</v>
      </c>
    </row>
    <row r="201" spans="1:9" ht="15.75" hidden="1">
      <c r="A201" s="144" t="s">
        <v>890</v>
      </c>
      <c r="B201" s="144"/>
      <c r="C201" s="144"/>
      <c r="D201" s="144"/>
      <c r="E201" s="144"/>
      <c r="F201" s="52"/>
      <c r="G201" s="52"/>
      <c r="H201" s="52"/>
      <c r="I201" s="34">
        <f>299.506-7.205</f>
        <v>292.301</v>
      </c>
    </row>
    <row r="202" spans="1:9" ht="15.75" hidden="1">
      <c r="A202" s="144" t="s">
        <v>857</v>
      </c>
      <c r="B202" s="144"/>
      <c r="C202" s="144"/>
      <c r="D202" s="144"/>
      <c r="E202" s="144"/>
      <c r="F202" s="52"/>
      <c r="G202" s="52"/>
      <c r="H202" s="52"/>
      <c r="I202" s="34">
        <v>108.507</v>
      </c>
    </row>
    <row r="203" spans="1:9" ht="15.75" hidden="1">
      <c r="A203" s="144" t="s">
        <v>858</v>
      </c>
      <c r="B203" s="144"/>
      <c r="C203" s="144"/>
      <c r="D203" s="144"/>
      <c r="E203" s="144"/>
      <c r="F203" s="52"/>
      <c r="G203" s="52"/>
      <c r="H203" s="52"/>
      <c r="I203" s="34">
        <v>152.833</v>
      </c>
    </row>
    <row r="204" spans="1:9" ht="15.75" hidden="1">
      <c r="A204" s="144" t="s">
        <v>52</v>
      </c>
      <c r="B204" s="144"/>
      <c r="C204" s="144"/>
      <c r="D204" s="144"/>
      <c r="E204" s="144"/>
      <c r="F204" s="52"/>
      <c r="G204" s="52"/>
      <c r="H204" s="52"/>
      <c r="I204" s="34">
        <f>500+232.013</f>
        <v>732.013</v>
      </c>
    </row>
    <row r="205" spans="1:9" ht="15.75" hidden="1">
      <c r="A205" s="147" t="s">
        <v>416</v>
      </c>
      <c r="B205" s="134"/>
      <c r="C205" s="134"/>
      <c r="D205" s="134"/>
      <c r="E205" s="135"/>
      <c r="F205" s="52"/>
      <c r="G205" s="52"/>
      <c r="H205" s="52"/>
      <c r="I205" s="34">
        <f>700-700</f>
        <v>0</v>
      </c>
    </row>
    <row r="206" spans="1:9" ht="30.75" customHeight="1" hidden="1">
      <c r="A206" s="144" t="s">
        <v>782</v>
      </c>
      <c r="B206" s="144"/>
      <c r="C206" s="144"/>
      <c r="D206" s="144"/>
      <c r="E206" s="144"/>
      <c r="F206" s="52"/>
      <c r="G206" s="52"/>
      <c r="H206" s="52"/>
      <c r="I206" s="34">
        <f>15+11.155+2.121+16+23.874</f>
        <v>68.14999999999999</v>
      </c>
    </row>
    <row r="207" spans="1:9" ht="30.75" customHeight="1" hidden="1">
      <c r="A207" s="144" t="s">
        <v>143</v>
      </c>
      <c r="B207" s="144"/>
      <c r="C207" s="144"/>
      <c r="D207" s="144"/>
      <c r="E207" s="144"/>
      <c r="F207" s="52"/>
      <c r="G207" s="52"/>
      <c r="H207" s="52"/>
      <c r="I207" s="34">
        <f>1176.155-11.155</f>
        <v>1165</v>
      </c>
    </row>
    <row r="208" spans="1:9" ht="15.75" hidden="1">
      <c r="A208" s="144" t="s">
        <v>590</v>
      </c>
      <c r="B208" s="144"/>
      <c r="C208" s="144"/>
      <c r="D208" s="144"/>
      <c r="E208" s="144"/>
      <c r="F208" s="52"/>
      <c r="G208" s="52"/>
      <c r="H208" s="52"/>
      <c r="I208" s="34">
        <f>200-200</f>
        <v>0</v>
      </c>
    </row>
    <row r="209" spans="1:9" ht="15.75" hidden="1">
      <c r="A209" s="144" t="s">
        <v>700</v>
      </c>
      <c r="B209" s="144"/>
      <c r="C209" s="144"/>
      <c r="D209" s="144"/>
      <c r="E209" s="144"/>
      <c r="F209" s="52"/>
      <c r="G209" s="52"/>
      <c r="H209" s="52"/>
      <c r="I209" s="34">
        <f>2500-23.845-450</f>
        <v>2026.1550000000002</v>
      </c>
    </row>
    <row r="210" spans="1:9" ht="15.75" hidden="1">
      <c r="A210" s="144" t="s">
        <v>296</v>
      </c>
      <c r="B210" s="144"/>
      <c r="C210" s="144"/>
      <c r="D210" s="144"/>
      <c r="E210" s="144"/>
      <c r="F210" s="52"/>
      <c r="G210" s="52"/>
      <c r="H210" s="52"/>
      <c r="I210" s="34">
        <v>23.845</v>
      </c>
    </row>
    <row r="211" spans="1:9" ht="19.5" customHeight="1" hidden="1">
      <c r="A211" s="144" t="s">
        <v>719</v>
      </c>
      <c r="B211" s="144"/>
      <c r="C211" s="144"/>
      <c r="D211" s="144"/>
      <c r="E211" s="144"/>
      <c r="F211" s="52"/>
      <c r="G211" s="52"/>
      <c r="H211" s="52"/>
      <c r="I211" s="34">
        <f>3900+1250</f>
        <v>5150</v>
      </c>
    </row>
    <row r="212" spans="1:9" ht="19.5" customHeight="1" hidden="1">
      <c r="A212" s="144" t="s">
        <v>720</v>
      </c>
      <c r="B212" s="144"/>
      <c r="C212" s="144"/>
      <c r="D212" s="144"/>
      <c r="E212" s="144"/>
      <c r="F212" s="52"/>
      <c r="G212" s="52"/>
      <c r="H212" s="52"/>
      <c r="I212" s="34">
        <f>3300-800-2.121</f>
        <v>2497.879</v>
      </c>
    </row>
    <row r="213" spans="1:9" ht="19.5" customHeight="1" hidden="1">
      <c r="A213" s="144" t="s">
        <v>144</v>
      </c>
      <c r="B213" s="144"/>
      <c r="C213" s="144"/>
      <c r="D213" s="144"/>
      <c r="E213" s="144"/>
      <c r="F213" s="52"/>
      <c r="G213" s="52"/>
      <c r="H213" s="52"/>
      <c r="I213" s="34">
        <f>2000-16</f>
        <v>1984</v>
      </c>
    </row>
    <row r="214" spans="1:9" ht="29.25" customHeight="1" hidden="1">
      <c r="A214" s="144" t="s">
        <v>1048</v>
      </c>
      <c r="B214" s="144"/>
      <c r="C214" s="144"/>
      <c r="D214" s="144"/>
      <c r="E214" s="144"/>
      <c r="F214" s="52"/>
      <c r="G214" s="52"/>
      <c r="H214" s="52"/>
      <c r="I214" s="34">
        <f>-1495+1495</f>
        <v>0</v>
      </c>
    </row>
    <row r="215" spans="1:9" ht="29.25" customHeight="1" hidden="1">
      <c r="A215" s="144" t="s">
        <v>856</v>
      </c>
      <c r="B215" s="144"/>
      <c r="C215" s="144"/>
      <c r="D215" s="144"/>
      <c r="E215" s="144"/>
      <c r="F215" s="52"/>
      <c r="G215" s="52"/>
      <c r="H215" s="52"/>
      <c r="I215" s="34">
        <f>1345-80.148</f>
        <v>1264.852</v>
      </c>
    </row>
    <row r="216" spans="1:9" ht="29.25" customHeight="1" hidden="1">
      <c r="A216" s="144" t="s">
        <v>410</v>
      </c>
      <c r="B216" s="144"/>
      <c r="C216" s="144"/>
      <c r="D216" s="144"/>
      <c r="E216" s="144"/>
      <c r="F216" s="52"/>
      <c r="G216" s="52"/>
      <c r="H216" s="52"/>
      <c r="I216" s="34">
        <v>670</v>
      </c>
    </row>
    <row r="217" spans="1:9" ht="29.25" customHeight="1" hidden="1">
      <c r="A217" s="147" t="s">
        <v>230</v>
      </c>
      <c r="B217" s="134"/>
      <c r="C217" s="134"/>
      <c r="D217" s="134"/>
      <c r="E217" s="135"/>
      <c r="F217" s="52"/>
      <c r="G217" s="52"/>
      <c r="H217" s="52"/>
      <c r="I217" s="34">
        <v>1495</v>
      </c>
    </row>
    <row r="218" spans="1:9" ht="31.5" customHeight="1">
      <c r="A218" s="14" t="s">
        <v>711</v>
      </c>
      <c r="B218" s="16">
        <v>2020</v>
      </c>
      <c r="C218" s="14" t="s">
        <v>712</v>
      </c>
      <c r="D218" s="17" t="s">
        <v>437</v>
      </c>
      <c r="E218" s="15" t="s">
        <v>756</v>
      </c>
      <c r="F218" s="5"/>
      <c r="G218" s="5"/>
      <c r="H218" s="5"/>
      <c r="I218" s="34">
        <v>31100.671</v>
      </c>
    </row>
    <row r="219" spans="1:9" ht="31.5" customHeight="1" hidden="1">
      <c r="A219" s="144" t="s">
        <v>10</v>
      </c>
      <c r="B219" s="144"/>
      <c r="C219" s="144"/>
      <c r="D219" s="144"/>
      <c r="E219" s="144"/>
      <c r="F219" s="5"/>
      <c r="G219" s="5"/>
      <c r="H219" s="5"/>
      <c r="I219" s="34">
        <v>210</v>
      </c>
    </row>
    <row r="220" spans="1:9" ht="31.5" customHeight="1" hidden="1">
      <c r="A220" s="144" t="s">
        <v>11</v>
      </c>
      <c r="B220" s="144"/>
      <c r="C220" s="144"/>
      <c r="D220" s="144"/>
      <c r="E220" s="144"/>
      <c r="F220" s="5"/>
      <c r="G220" s="5"/>
      <c r="H220" s="5"/>
      <c r="I220" s="34">
        <v>200</v>
      </c>
    </row>
    <row r="221" spans="1:9" ht="31.5" customHeight="1" hidden="1">
      <c r="A221" s="144" t="s">
        <v>372</v>
      </c>
      <c r="B221" s="144"/>
      <c r="C221" s="144"/>
      <c r="D221" s="144"/>
      <c r="E221" s="144"/>
      <c r="F221" s="5"/>
      <c r="G221" s="5"/>
      <c r="H221" s="5"/>
      <c r="I221" s="34">
        <v>27</v>
      </c>
    </row>
    <row r="222" spans="1:9" ht="31.5" customHeight="1" hidden="1">
      <c r="A222" s="144" t="s">
        <v>13</v>
      </c>
      <c r="B222" s="144"/>
      <c r="C222" s="144"/>
      <c r="D222" s="144"/>
      <c r="E222" s="144"/>
      <c r="F222" s="5"/>
      <c r="G222" s="5"/>
      <c r="H222" s="5"/>
      <c r="I222" s="34">
        <v>33</v>
      </c>
    </row>
    <row r="223" spans="1:9" ht="31.5" customHeight="1" hidden="1">
      <c r="A223" s="144" t="s">
        <v>12</v>
      </c>
      <c r="B223" s="144"/>
      <c r="C223" s="144"/>
      <c r="D223" s="144"/>
      <c r="E223" s="144"/>
      <c r="F223" s="5"/>
      <c r="G223" s="5"/>
      <c r="H223" s="5"/>
      <c r="I223" s="34">
        <v>28</v>
      </c>
    </row>
    <row r="224" spans="1:9" ht="31.5" customHeight="1" hidden="1">
      <c r="A224" s="144" t="s">
        <v>690</v>
      </c>
      <c r="B224" s="144"/>
      <c r="C224" s="144"/>
      <c r="D224" s="144"/>
      <c r="E224" s="144"/>
      <c r="F224" s="5"/>
      <c r="G224" s="5"/>
      <c r="H224" s="5"/>
      <c r="I224" s="34">
        <v>58</v>
      </c>
    </row>
    <row r="225" spans="1:9" ht="36" customHeight="1" hidden="1">
      <c r="A225" s="144" t="s">
        <v>691</v>
      </c>
      <c r="B225" s="144"/>
      <c r="C225" s="144"/>
      <c r="D225" s="144"/>
      <c r="E225" s="144"/>
      <c r="F225" s="5"/>
      <c r="G225" s="5"/>
      <c r="H225" s="5"/>
      <c r="I225" s="34">
        <v>50</v>
      </c>
    </row>
    <row r="226" spans="1:9" ht="36" customHeight="1" hidden="1">
      <c r="A226" s="144" t="s">
        <v>452</v>
      </c>
      <c r="B226" s="144"/>
      <c r="C226" s="144"/>
      <c r="D226" s="144"/>
      <c r="E226" s="144"/>
      <c r="F226" s="5"/>
      <c r="G226" s="5"/>
      <c r="H226" s="5"/>
      <c r="I226" s="34">
        <f>500+700</f>
        <v>1200</v>
      </c>
    </row>
    <row r="227" spans="1:9" ht="35.25" customHeight="1" hidden="1">
      <c r="A227" s="144" t="s">
        <v>591</v>
      </c>
      <c r="B227" s="144"/>
      <c r="C227" s="144"/>
      <c r="D227" s="144"/>
      <c r="E227" s="144"/>
      <c r="F227" s="53"/>
      <c r="G227" s="53"/>
      <c r="H227" s="53"/>
      <c r="I227" s="34">
        <f>200-200</f>
        <v>0</v>
      </c>
    </row>
    <row r="228" spans="1:9" ht="35.25" customHeight="1" hidden="1">
      <c r="A228" s="144" t="s">
        <v>617</v>
      </c>
      <c r="B228" s="144"/>
      <c r="C228" s="144"/>
      <c r="D228" s="144"/>
      <c r="E228" s="144"/>
      <c r="F228" s="53"/>
      <c r="G228" s="53"/>
      <c r="H228" s="53"/>
      <c r="I228" s="34">
        <v>30</v>
      </c>
    </row>
    <row r="229" spans="1:9" ht="35.25" customHeight="1">
      <c r="A229" s="144" t="s">
        <v>618</v>
      </c>
      <c r="B229" s="144"/>
      <c r="C229" s="144"/>
      <c r="D229" s="144"/>
      <c r="E229" s="144"/>
      <c r="F229" s="53"/>
      <c r="G229" s="53"/>
      <c r="H229" s="53"/>
      <c r="I229" s="34">
        <f>400-27.234</f>
        <v>372.766</v>
      </c>
    </row>
    <row r="230" spans="1:9" ht="35.25" customHeight="1">
      <c r="A230" s="144" t="s">
        <v>502</v>
      </c>
      <c r="B230" s="144"/>
      <c r="C230" s="144"/>
      <c r="D230" s="144"/>
      <c r="E230" s="144"/>
      <c r="F230" s="53"/>
      <c r="G230" s="53"/>
      <c r="H230" s="53"/>
      <c r="I230" s="34">
        <v>27.234</v>
      </c>
    </row>
    <row r="231" spans="1:9" ht="37.5" customHeight="1" hidden="1">
      <c r="A231" s="144" t="s">
        <v>650</v>
      </c>
      <c r="B231" s="144"/>
      <c r="C231" s="144"/>
      <c r="D231" s="144"/>
      <c r="E231" s="144"/>
      <c r="F231" s="53"/>
      <c r="G231" s="53"/>
      <c r="H231" s="53"/>
      <c r="I231" s="34">
        <f>900-3.832</f>
        <v>896.168</v>
      </c>
    </row>
    <row r="232" spans="1:9" ht="40.5" customHeight="1" hidden="1">
      <c r="A232" s="144" t="s">
        <v>34</v>
      </c>
      <c r="B232" s="144"/>
      <c r="C232" s="144"/>
      <c r="D232" s="144"/>
      <c r="E232" s="144"/>
      <c r="F232" s="53"/>
      <c r="G232" s="53"/>
      <c r="H232" s="53"/>
      <c r="I232" s="34">
        <f>500-222.586</f>
        <v>277.414</v>
      </c>
    </row>
    <row r="233" spans="1:9" ht="27.75" customHeight="1" hidden="1">
      <c r="A233" s="144" t="s">
        <v>411</v>
      </c>
      <c r="B233" s="144"/>
      <c r="C233" s="144"/>
      <c r="D233" s="144"/>
      <c r="E233" s="144"/>
      <c r="F233" s="53"/>
      <c r="G233" s="53"/>
      <c r="H233" s="53"/>
      <c r="I233" s="34">
        <v>182.586</v>
      </c>
    </row>
    <row r="234" spans="1:9" ht="40.5" customHeight="1" hidden="1">
      <c r="A234" s="144" t="s">
        <v>413</v>
      </c>
      <c r="B234" s="144"/>
      <c r="C234" s="144"/>
      <c r="D234" s="144"/>
      <c r="E234" s="144"/>
      <c r="F234" s="53"/>
      <c r="G234" s="53"/>
      <c r="H234" s="53"/>
      <c r="I234" s="34">
        <v>40</v>
      </c>
    </row>
    <row r="235" spans="1:9" ht="35.25" customHeight="1" hidden="1">
      <c r="A235" s="144" t="s">
        <v>35</v>
      </c>
      <c r="B235" s="144"/>
      <c r="C235" s="144"/>
      <c r="D235" s="144"/>
      <c r="E235" s="144"/>
      <c r="F235" s="53"/>
      <c r="G235" s="53"/>
      <c r="H235" s="53"/>
      <c r="I235" s="34">
        <f>200-200</f>
        <v>0</v>
      </c>
    </row>
    <row r="236" spans="1:9" ht="29.25" customHeight="1" hidden="1">
      <c r="A236" s="144" t="s">
        <v>817</v>
      </c>
      <c r="B236" s="144"/>
      <c r="C236" s="144"/>
      <c r="D236" s="144"/>
      <c r="E236" s="144"/>
      <c r="F236" s="53"/>
      <c r="G236" s="53"/>
      <c r="H236" s="53"/>
      <c r="I236" s="34">
        <v>447.2</v>
      </c>
    </row>
    <row r="237" spans="1:9" ht="29.25" customHeight="1" hidden="1">
      <c r="A237" s="144" t="s">
        <v>717</v>
      </c>
      <c r="B237" s="144"/>
      <c r="C237" s="144"/>
      <c r="D237" s="144"/>
      <c r="E237" s="144"/>
      <c r="F237" s="53"/>
      <c r="G237" s="53"/>
      <c r="H237" s="53"/>
      <c r="I237" s="34">
        <f>650-1</f>
        <v>649</v>
      </c>
    </row>
    <row r="238" spans="1:9" ht="17.25" customHeight="1" hidden="1">
      <c r="A238" s="144" t="s">
        <v>599</v>
      </c>
      <c r="B238" s="144"/>
      <c r="C238" s="144"/>
      <c r="D238" s="144"/>
      <c r="E238" s="144"/>
      <c r="F238" s="53"/>
      <c r="G238" s="53"/>
      <c r="H238" s="53"/>
      <c r="I238" s="34">
        <f>388-7.25</f>
        <v>380.75</v>
      </c>
    </row>
    <row r="239" spans="1:9" ht="15.75" customHeight="1" hidden="1">
      <c r="A239" s="144" t="s">
        <v>600</v>
      </c>
      <c r="B239" s="144"/>
      <c r="C239" s="144"/>
      <c r="D239" s="144"/>
      <c r="E239" s="144"/>
      <c r="F239" s="53"/>
      <c r="G239" s="53"/>
      <c r="H239" s="53"/>
      <c r="I239" s="34">
        <f>200-200</f>
        <v>0</v>
      </c>
    </row>
    <row r="240" spans="1:9" ht="32.25" customHeight="1" hidden="1">
      <c r="A240" s="144" t="s">
        <v>1071</v>
      </c>
      <c r="B240" s="144"/>
      <c r="C240" s="144"/>
      <c r="D240" s="144"/>
      <c r="E240" s="144"/>
      <c r="F240" s="53"/>
      <c r="G240" s="53"/>
      <c r="H240" s="53"/>
      <c r="I240" s="34"/>
    </row>
    <row r="241" spans="1:9" ht="30" customHeight="1" hidden="1">
      <c r="A241" s="144" t="s">
        <v>471</v>
      </c>
      <c r="B241" s="144"/>
      <c r="C241" s="144"/>
      <c r="D241" s="144"/>
      <c r="E241" s="144"/>
      <c r="F241" s="53"/>
      <c r="G241" s="53"/>
      <c r="H241" s="53"/>
      <c r="I241" s="34">
        <f>200-200</f>
        <v>0</v>
      </c>
    </row>
    <row r="242" spans="1:9" ht="15.75" customHeight="1" hidden="1">
      <c r="A242" s="144" t="s">
        <v>472</v>
      </c>
      <c r="B242" s="144"/>
      <c r="C242" s="144"/>
      <c r="D242" s="144"/>
      <c r="E242" s="144"/>
      <c r="F242" s="53"/>
      <c r="G242" s="53"/>
      <c r="H242" s="53"/>
      <c r="I242" s="34">
        <f>480-455</f>
        <v>25</v>
      </c>
    </row>
    <row r="243" spans="1:9" ht="15.75" customHeight="1" hidden="1">
      <c r="A243" s="144" t="s">
        <v>1060</v>
      </c>
      <c r="B243" s="144"/>
      <c r="C243" s="144"/>
      <c r="D243" s="144"/>
      <c r="E243" s="144"/>
      <c r="F243" s="53"/>
      <c r="G243" s="53"/>
      <c r="H243" s="53"/>
      <c r="I243" s="34">
        <v>455</v>
      </c>
    </row>
    <row r="244" spans="1:9" ht="14.25" customHeight="1">
      <c r="A244" s="144" t="s">
        <v>473</v>
      </c>
      <c r="B244" s="144"/>
      <c r="C244" s="144"/>
      <c r="D244" s="144"/>
      <c r="E244" s="144"/>
      <c r="F244" s="53"/>
      <c r="G244" s="53"/>
      <c r="H244" s="53"/>
      <c r="I244" s="34">
        <f>400-119.2</f>
        <v>280.8</v>
      </c>
    </row>
    <row r="245" spans="1:9" ht="17.25" customHeight="1" hidden="1">
      <c r="A245" s="144" t="s">
        <v>159</v>
      </c>
      <c r="B245" s="144"/>
      <c r="C245" s="144"/>
      <c r="D245" s="144"/>
      <c r="E245" s="144"/>
      <c r="F245" s="53"/>
      <c r="G245" s="53"/>
      <c r="H245" s="53"/>
      <c r="I245" s="34">
        <f>200-200</f>
        <v>0</v>
      </c>
    </row>
    <row r="246" spans="1:9" ht="33" customHeight="1" hidden="1">
      <c r="A246" s="144" t="s">
        <v>819</v>
      </c>
      <c r="B246" s="144"/>
      <c r="C246" s="144"/>
      <c r="D246" s="144"/>
      <c r="E246" s="144"/>
      <c r="F246" s="53"/>
      <c r="G246" s="53"/>
      <c r="H246" s="53"/>
      <c r="I246" s="34">
        <f>200-200</f>
        <v>0</v>
      </c>
    </row>
    <row r="247" spans="1:9" ht="15" customHeight="1" hidden="1">
      <c r="A247" s="144" t="s">
        <v>820</v>
      </c>
      <c r="B247" s="144"/>
      <c r="C247" s="144"/>
      <c r="D247" s="144"/>
      <c r="E247" s="144"/>
      <c r="F247" s="53"/>
      <c r="G247" s="53"/>
      <c r="H247" s="53"/>
      <c r="I247" s="34">
        <f>30+171</f>
        <v>201</v>
      </c>
    </row>
    <row r="248" spans="1:9" ht="15.75" customHeight="1">
      <c r="A248" s="144" t="s">
        <v>821</v>
      </c>
      <c r="B248" s="144"/>
      <c r="C248" s="144"/>
      <c r="D248" s="144"/>
      <c r="E248" s="144"/>
      <c r="F248" s="53"/>
      <c r="G248" s="53"/>
      <c r="H248" s="53"/>
      <c r="I248" s="34">
        <f>250+100</f>
        <v>350</v>
      </c>
    </row>
    <row r="249" spans="1:9" ht="15.75" customHeight="1" hidden="1">
      <c r="A249" s="144" t="s">
        <v>598</v>
      </c>
      <c r="B249" s="144"/>
      <c r="C249" s="144"/>
      <c r="D249" s="144"/>
      <c r="E249" s="144"/>
      <c r="F249" s="53"/>
      <c r="G249" s="53"/>
      <c r="H249" s="53"/>
      <c r="I249" s="34">
        <f>200-200</f>
        <v>0</v>
      </c>
    </row>
    <row r="250" spans="1:9" ht="18" customHeight="1" hidden="1">
      <c r="A250" s="144" t="s">
        <v>71</v>
      </c>
      <c r="B250" s="144"/>
      <c r="C250" s="144"/>
      <c r="D250" s="144"/>
      <c r="E250" s="144"/>
      <c r="F250" s="53"/>
      <c r="G250" s="53"/>
      <c r="H250" s="53"/>
      <c r="I250" s="34"/>
    </row>
    <row r="251" spans="1:9" ht="33" customHeight="1" hidden="1">
      <c r="A251" s="144" t="s">
        <v>9</v>
      </c>
      <c r="B251" s="144"/>
      <c r="C251" s="144"/>
      <c r="D251" s="144"/>
      <c r="E251" s="144"/>
      <c r="F251" s="53"/>
      <c r="G251" s="53"/>
      <c r="H251" s="53"/>
      <c r="I251" s="34">
        <v>600</v>
      </c>
    </row>
    <row r="252" spans="1:9" ht="29.25" customHeight="1" hidden="1">
      <c r="A252" s="144" t="s">
        <v>359</v>
      </c>
      <c r="B252" s="144"/>
      <c r="C252" s="144"/>
      <c r="D252" s="144"/>
      <c r="E252" s="144"/>
      <c r="F252" s="53"/>
      <c r="G252" s="53"/>
      <c r="H252" s="53"/>
      <c r="I252" s="34">
        <v>100</v>
      </c>
    </row>
    <row r="253" spans="1:9" ht="33.75" customHeight="1" hidden="1">
      <c r="A253" s="144" t="s">
        <v>155</v>
      </c>
      <c r="B253" s="144"/>
      <c r="C253" s="144"/>
      <c r="D253" s="144"/>
      <c r="E253" s="144"/>
      <c r="F253" s="53"/>
      <c r="G253" s="53"/>
      <c r="H253" s="53"/>
      <c r="I253" s="34"/>
    </row>
    <row r="254" spans="1:9" ht="30.75" customHeight="1" hidden="1">
      <c r="A254" s="144" t="s">
        <v>407</v>
      </c>
      <c r="B254" s="144"/>
      <c r="C254" s="144"/>
      <c r="D254" s="144"/>
      <c r="E254" s="144"/>
      <c r="F254" s="53"/>
      <c r="G254" s="53"/>
      <c r="H254" s="53"/>
      <c r="I254" s="34"/>
    </row>
    <row r="255" spans="1:9" ht="30.75" customHeight="1" hidden="1">
      <c r="A255" s="144" t="s">
        <v>409</v>
      </c>
      <c r="B255" s="144"/>
      <c r="C255" s="144"/>
      <c r="D255" s="144"/>
      <c r="E255" s="144"/>
      <c r="F255" s="53"/>
      <c r="G255" s="53"/>
      <c r="H255" s="53"/>
      <c r="I255" s="34">
        <v>260</v>
      </c>
    </row>
    <row r="256" spans="1:9" ht="30.75" customHeight="1" hidden="1">
      <c r="A256" s="144" t="s">
        <v>474</v>
      </c>
      <c r="B256" s="144"/>
      <c r="C256" s="144"/>
      <c r="D256" s="144"/>
      <c r="E256" s="144"/>
      <c r="F256" s="53"/>
      <c r="G256" s="53"/>
      <c r="H256" s="53"/>
      <c r="I256" s="34">
        <v>225</v>
      </c>
    </row>
    <row r="257" spans="1:9" ht="31.5" customHeight="1" hidden="1">
      <c r="A257" s="144" t="s">
        <v>697</v>
      </c>
      <c r="B257" s="144"/>
      <c r="C257" s="144"/>
      <c r="D257" s="144"/>
      <c r="E257" s="144"/>
      <c r="F257" s="53"/>
      <c r="G257" s="53"/>
      <c r="H257" s="53"/>
      <c r="I257" s="34">
        <f>200-200</f>
        <v>0</v>
      </c>
    </row>
    <row r="258" spans="1:9" ht="31.5" customHeight="1" hidden="1">
      <c r="A258" s="144" t="s">
        <v>426</v>
      </c>
      <c r="B258" s="144"/>
      <c r="C258" s="144"/>
      <c r="D258" s="144"/>
      <c r="E258" s="144"/>
      <c r="F258" s="53"/>
      <c r="G258" s="53"/>
      <c r="H258" s="53"/>
      <c r="I258" s="34">
        <v>450.9</v>
      </c>
    </row>
    <row r="259" spans="1:9" ht="15.75" customHeight="1" hidden="1">
      <c r="A259" s="144" t="s">
        <v>780</v>
      </c>
      <c r="B259" s="144"/>
      <c r="C259" s="144"/>
      <c r="D259" s="144"/>
      <c r="E259" s="144"/>
      <c r="F259" s="53"/>
      <c r="G259" s="53"/>
      <c r="H259" s="53"/>
      <c r="I259" s="34">
        <f>200+300</f>
        <v>500</v>
      </c>
    </row>
    <row r="260" spans="1:9" ht="15.75" customHeight="1" hidden="1">
      <c r="A260" s="144" t="s">
        <v>507</v>
      </c>
      <c r="B260" s="144"/>
      <c r="C260" s="144"/>
      <c r="D260" s="144"/>
      <c r="E260" s="144"/>
      <c r="F260" s="53"/>
      <c r="G260" s="53"/>
      <c r="H260" s="53"/>
      <c r="I260" s="34">
        <f>200-200</f>
        <v>0</v>
      </c>
    </row>
    <row r="261" spans="1:9" ht="15.75" customHeight="1" hidden="1">
      <c r="A261" s="144" t="s">
        <v>508</v>
      </c>
      <c r="B261" s="144"/>
      <c r="C261" s="144"/>
      <c r="D261" s="144"/>
      <c r="E261" s="144"/>
      <c r="F261" s="53"/>
      <c r="G261" s="53"/>
      <c r="H261" s="53"/>
      <c r="I261" s="34">
        <f>150-15.1</f>
        <v>134.9</v>
      </c>
    </row>
    <row r="262" spans="1:9" ht="15.75" customHeight="1" hidden="1">
      <c r="A262" s="144" t="s">
        <v>865</v>
      </c>
      <c r="B262" s="144"/>
      <c r="C262" s="144"/>
      <c r="D262" s="144"/>
      <c r="E262" s="144"/>
      <c r="F262" s="53"/>
      <c r="G262" s="53"/>
      <c r="H262" s="53"/>
      <c r="I262" s="34">
        <v>15.1</v>
      </c>
    </row>
    <row r="263" spans="1:9" ht="15.75" customHeight="1" hidden="1">
      <c r="A263" s="144" t="s">
        <v>891</v>
      </c>
      <c r="B263" s="144"/>
      <c r="C263" s="144"/>
      <c r="D263" s="144"/>
      <c r="E263" s="144"/>
      <c r="F263" s="53"/>
      <c r="G263" s="53"/>
      <c r="H263" s="53"/>
      <c r="I263" s="34">
        <v>90</v>
      </c>
    </row>
    <row r="264" spans="1:9" ht="15.75" customHeight="1" hidden="1">
      <c r="A264" s="144" t="s">
        <v>746</v>
      </c>
      <c r="B264" s="144"/>
      <c r="C264" s="144"/>
      <c r="D264" s="144"/>
      <c r="E264" s="144"/>
      <c r="F264" s="53"/>
      <c r="G264" s="53"/>
      <c r="H264" s="53"/>
      <c r="I264" s="34"/>
    </row>
    <row r="265" spans="1:9" ht="15.75" customHeight="1" hidden="1">
      <c r="A265" s="144" t="s">
        <v>408</v>
      </c>
      <c r="B265" s="144"/>
      <c r="C265" s="144"/>
      <c r="D265" s="144"/>
      <c r="E265" s="144"/>
      <c r="F265" s="53"/>
      <c r="G265" s="53"/>
      <c r="H265" s="53"/>
      <c r="I265" s="34">
        <v>146.3</v>
      </c>
    </row>
    <row r="266" spans="1:9" ht="15.75" customHeight="1" hidden="1">
      <c r="A266" s="144" t="s">
        <v>747</v>
      </c>
      <c r="B266" s="144"/>
      <c r="C266" s="144"/>
      <c r="D266" s="144"/>
      <c r="E266" s="144"/>
      <c r="F266" s="53"/>
      <c r="G266" s="53"/>
      <c r="H266" s="53"/>
      <c r="I266" s="34">
        <f>1036-1036</f>
        <v>0</v>
      </c>
    </row>
    <row r="267" spans="1:9" ht="15.75" customHeight="1" hidden="1">
      <c r="A267" s="144" t="s">
        <v>343</v>
      </c>
      <c r="B267" s="144"/>
      <c r="C267" s="144"/>
      <c r="D267" s="144"/>
      <c r="E267" s="144"/>
      <c r="F267" s="53"/>
      <c r="G267" s="53"/>
      <c r="H267" s="53"/>
      <c r="I267" s="34"/>
    </row>
    <row r="268" spans="1:9" ht="30.75" customHeight="1" hidden="1">
      <c r="A268" s="144" t="s">
        <v>781</v>
      </c>
      <c r="B268" s="144"/>
      <c r="C268" s="144"/>
      <c r="D268" s="144"/>
      <c r="E268" s="144"/>
      <c r="F268" s="53"/>
      <c r="G268" s="53"/>
      <c r="H268" s="53"/>
      <c r="I268" s="34">
        <v>203.7</v>
      </c>
    </row>
    <row r="269" spans="1:9" ht="15.75" customHeight="1" hidden="1">
      <c r="A269" s="144" t="s">
        <v>304</v>
      </c>
      <c r="B269" s="144"/>
      <c r="C269" s="144"/>
      <c r="D269" s="144"/>
      <c r="E269" s="144"/>
      <c r="F269" s="53"/>
      <c r="G269" s="53"/>
      <c r="H269" s="53"/>
      <c r="I269" s="34">
        <v>0</v>
      </c>
    </row>
    <row r="270" spans="1:9" ht="29.25" customHeight="1" hidden="1">
      <c r="A270" s="144" t="s">
        <v>470</v>
      </c>
      <c r="B270" s="144"/>
      <c r="C270" s="144"/>
      <c r="D270" s="144"/>
      <c r="E270" s="144"/>
      <c r="F270" s="53"/>
      <c r="G270" s="53"/>
      <c r="H270" s="53"/>
      <c r="I270" s="34">
        <f>1400-60</f>
        <v>1340</v>
      </c>
    </row>
    <row r="271" spans="1:9" ht="15.75" customHeight="1" hidden="1">
      <c r="A271" s="144" t="s">
        <v>738</v>
      </c>
      <c r="B271" s="144"/>
      <c r="C271" s="144"/>
      <c r="D271" s="144"/>
      <c r="E271" s="144"/>
      <c r="F271" s="53"/>
      <c r="G271" s="53"/>
      <c r="H271" s="53"/>
      <c r="I271" s="34">
        <f>330+34</f>
        <v>364</v>
      </c>
    </row>
    <row r="272" spans="1:9" ht="20.25" customHeight="1" hidden="1">
      <c r="A272" s="144" t="s">
        <v>412</v>
      </c>
      <c r="B272" s="144"/>
      <c r="C272" s="144"/>
      <c r="D272" s="144"/>
      <c r="E272" s="144"/>
      <c r="F272" s="53"/>
      <c r="G272" s="53"/>
      <c r="H272" s="53"/>
      <c r="I272" s="34">
        <v>500</v>
      </c>
    </row>
    <row r="273" spans="1:9" ht="36" customHeight="1" hidden="1">
      <c r="A273" s="144" t="s">
        <v>289</v>
      </c>
      <c r="B273" s="144"/>
      <c r="C273" s="144"/>
      <c r="D273" s="144"/>
      <c r="E273" s="144"/>
      <c r="F273" s="53"/>
      <c r="G273" s="53"/>
      <c r="H273" s="53"/>
      <c r="I273" s="34">
        <f>500+418.3</f>
        <v>918.3</v>
      </c>
    </row>
    <row r="274" spans="1:9" ht="23.25" customHeight="1" hidden="1">
      <c r="A274" s="147"/>
      <c r="B274" s="134"/>
      <c r="C274" s="134"/>
      <c r="D274" s="134"/>
      <c r="E274" s="135"/>
      <c r="F274" s="53"/>
      <c r="G274" s="53"/>
      <c r="H274" s="53"/>
      <c r="I274" s="34"/>
    </row>
    <row r="275" spans="1:9" ht="36" customHeight="1" hidden="1">
      <c r="A275" s="144" t="s">
        <v>818</v>
      </c>
      <c r="B275" s="144"/>
      <c r="C275" s="144"/>
      <c r="D275" s="144"/>
      <c r="E275" s="144"/>
      <c r="F275" s="53"/>
      <c r="G275" s="53"/>
      <c r="H275" s="53"/>
      <c r="I275" s="34">
        <v>150</v>
      </c>
    </row>
    <row r="276" spans="1:9" ht="15" customHeight="1" hidden="1">
      <c r="A276" s="144" t="s">
        <v>305</v>
      </c>
      <c r="B276" s="144"/>
      <c r="C276" s="144"/>
      <c r="D276" s="144"/>
      <c r="E276" s="144"/>
      <c r="F276" s="53"/>
      <c r="G276" s="53"/>
      <c r="H276" s="53"/>
      <c r="I276" s="34"/>
    </row>
    <row r="277" spans="1:9" ht="15.75" customHeight="1" hidden="1">
      <c r="A277" s="144" t="s">
        <v>306</v>
      </c>
      <c r="B277" s="144"/>
      <c r="C277" s="144"/>
      <c r="D277" s="144"/>
      <c r="E277" s="144"/>
      <c r="F277" s="53"/>
      <c r="G277" s="53"/>
      <c r="H277" s="53"/>
      <c r="I277" s="60">
        <f>300-15.259</f>
        <v>284.741</v>
      </c>
    </row>
    <row r="278" spans="1:9" ht="15.75" customHeight="1" hidden="1">
      <c r="A278" s="144" t="s">
        <v>344</v>
      </c>
      <c r="B278" s="144"/>
      <c r="C278" s="144"/>
      <c r="D278" s="144"/>
      <c r="E278" s="144"/>
      <c r="F278" s="53"/>
      <c r="G278" s="53"/>
      <c r="H278" s="53"/>
      <c r="I278" s="34">
        <f>200-200</f>
        <v>0</v>
      </c>
    </row>
    <row r="279" spans="1:9" ht="30.75" customHeight="1" hidden="1">
      <c r="A279" s="144" t="s">
        <v>61</v>
      </c>
      <c r="B279" s="144"/>
      <c r="C279" s="144"/>
      <c r="D279" s="144"/>
      <c r="E279" s="144"/>
      <c r="F279" s="53"/>
      <c r="G279" s="53"/>
      <c r="H279" s="53"/>
      <c r="I279" s="34">
        <f>1000+300</f>
        <v>1300</v>
      </c>
    </row>
    <row r="280" spans="1:9" ht="32.25" customHeight="1" hidden="1">
      <c r="A280" s="144" t="s">
        <v>156</v>
      </c>
      <c r="B280" s="144"/>
      <c r="C280" s="144"/>
      <c r="D280" s="144"/>
      <c r="E280" s="144"/>
      <c r="F280" s="53"/>
      <c r="G280" s="53"/>
      <c r="H280" s="53"/>
      <c r="I280" s="34">
        <f aca="true" t="shared" si="0" ref="I280:I288">200-200</f>
        <v>0</v>
      </c>
    </row>
    <row r="281" spans="1:9" ht="15.75" customHeight="1" hidden="1">
      <c r="A281" s="144" t="s">
        <v>114</v>
      </c>
      <c r="B281" s="144"/>
      <c r="C281" s="144"/>
      <c r="D281" s="144"/>
      <c r="E281" s="144"/>
      <c r="F281" s="53"/>
      <c r="G281" s="53"/>
      <c r="H281" s="53"/>
      <c r="I281" s="34">
        <f t="shared" si="0"/>
        <v>0</v>
      </c>
    </row>
    <row r="282" spans="1:9" ht="18.75" customHeight="1" hidden="1">
      <c r="A282" s="144" t="s">
        <v>649</v>
      </c>
      <c r="B282" s="144"/>
      <c r="C282" s="144"/>
      <c r="D282" s="144"/>
      <c r="E282" s="144"/>
      <c r="F282" s="53"/>
      <c r="G282" s="53"/>
      <c r="H282" s="53"/>
      <c r="I282" s="34">
        <f t="shared" si="0"/>
        <v>0</v>
      </c>
    </row>
    <row r="283" spans="1:9" ht="18.75" customHeight="1" hidden="1">
      <c r="A283" s="147" t="s">
        <v>475</v>
      </c>
      <c r="B283" s="134"/>
      <c r="C283" s="134"/>
      <c r="D283" s="134"/>
      <c r="E283" s="135"/>
      <c r="F283" s="53"/>
      <c r="G283" s="53"/>
      <c r="H283" s="53"/>
      <c r="I283" s="34">
        <f>1000-1000</f>
        <v>0</v>
      </c>
    </row>
    <row r="284" spans="1:9" ht="39" customHeight="1" hidden="1">
      <c r="A284" s="147" t="s">
        <v>476</v>
      </c>
      <c r="B284" s="134"/>
      <c r="C284" s="134"/>
      <c r="D284" s="134"/>
      <c r="E284" s="135"/>
      <c r="F284" s="53"/>
      <c r="G284" s="53"/>
      <c r="H284" s="53"/>
      <c r="I284" s="34">
        <v>1000</v>
      </c>
    </row>
    <row r="285" spans="1:9" ht="17.25" customHeight="1" hidden="1">
      <c r="A285" s="144" t="s">
        <v>1076</v>
      </c>
      <c r="B285" s="144"/>
      <c r="C285" s="144"/>
      <c r="D285" s="144"/>
      <c r="E285" s="144"/>
      <c r="F285" s="53"/>
      <c r="G285" s="53"/>
      <c r="H285" s="53"/>
      <c r="I285" s="34">
        <f t="shared" si="0"/>
        <v>0</v>
      </c>
    </row>
    <row r="286" spans="1:9" ht="15.75" hidden="1">
      <c r="A286" s="144" t="s">
        <v>881</v>
      </c>
      <c r="B286" s="144"/>
      <c r="C286" s="144"/>
      <c r="D286" s="144"/>
      <c r="E286" s="144"/>
      <c r="F286" s="53"/>
      <c r="G286" s="53"/>
      <c r="H286" s="53"/>
      <c r="I286" s="34">
        <f t="shared" si="0"/>
        <v>0</v>
      </c>
    </row>
    <row r="287" spans="1:9" ht="39.75" customHeight="1" hidden="1">
      <c r="A287" s="144" t="s">
        <v>297</v>
      </c>
      <c r="B287" s="144"/>
      <c r="C287" s="144"/>
      <c r="D287" s="144"/>
      <c r="E287" s="144"/>
      <c r="F287" s="53"/>
      <c r="G287" s="53"/>
      <c r="H287" s="53"/>
      <c r="I287" s="34">
        <f>280.6+2</f>
        <v>282.6</v>
      </c>
    </row>
    <row r="288" spans="1:9" ht="36.75" customHeight="1" hidden="1">
      <c r="A288" s="144" t="s">
        <v>882</v>
      </c>
      <c r="B288" s="144"/>
      <c r="C288" s="144"/>
      <c r="D288" s="144"/>
      <c r="E288" s="144"/>
      <c r="F288" s="52"/>
      <c r="G288" s="52"/>
      <c r="H288" s="52"/>
      <c r="I288" s="34">
        <f t="shared" si="0"/>
        <v>0</v>
      </c>
    </row>
    <row r="289" spans="1:9" ht="36.75" customHeight="1" hidden="1">
      <c r="A289" s="144" t="s">
        <v>97</v>
      </c>
      <c r="B289" s="144"/>
      <c r="C289" s="144"/>
      <c r="D289" s="144"/>
      <c r="E289" s="144"/>
      <c r="F289" s="52"/>
      <c r="G289" s="52"/>
      <c r="H289" s="52"/>
      <c r="I289" s="34">
        <f>30-30</f>
        <v>0</v>
      </c>
    </row>
    <row r="290" spans="1:9" ht="30.75" customHeight="1" hidden="1">
      <c r="A290" s="144" t="s">
        <v>883</v>
      </c>
      <c r="B290" s="144"/>
      <c r="C290" s="144"/>
      <c r="D290" s="144"/>
      <c r="E290" s="144"/>
      <c r="F290" s="52"/>
      <c r="G290" s="52"/>
      <c r="H290" s="52"/>
      <c r="I290" s="34">
        <f>1500-20</f>
        <v>1480</v>
      </c>
    </row>
    <row r="291" spans="1:9" ht="24.75" customHeight="1" hidden="1">
      <c r="A291" s="144" t="s">
        <v>619</v>
      </c>
      <c r="B291" s="144"/>
      <c r="C291" s="144"/>
      <c r="D291" s="144"/>
      <c r="E291" s="144"/>
      <c r="F291" s="52"/>
      <c r="G291" s="52"/>
      <c r="H291" s="52"/>
      <c r="I291" s="34">
        <v>199</v>
      </c>
    </row>
    <row r="292" spans="1:9" ht="36.75" customHeight="1" hidden="1">
      <c r="A292" s="144" t="s">
        <v>1059</v>
      </c>
      <c r="B292" s="144"/>
      <c r="C292" s="144"/>
      <c r="D292" s="144"/>
      <c r="E292" s="144"/>
      <c r="F292" s="52"/>
      <c r="G292" s="52"/>
      <c r="H292" s="52"/>
      <c r="I292" s="34">
        <v>16</v>
      </c>
    </row>
    <row r="293" spans="1:9" ht="24.75" customHeight="1" hidden="1">
      <c r="A293" s="147" t="s">
        <v>253</v>
      </c>
      <c r="B293" s="134"/>
      <c r="C293" s="134"/>
      <c r="D293" s="134"/>
      <c r="E293" s="135"/>
      <c r="F293" s="52"/>
      <c r="G293" s="52"/>
      <c r="H293" s="52"/>
      <c r="I293" s="34">
        <f>92-0.5</f>
        <v>91.5</v>
      </c>
    </row>
    <row r="294" spans="1:9" ht="30.75" customHeight="1" hidden="1">
      <c r="A294" s="147" t="s">
        <v>354</v>
      </c>
      <c r="B294" s="134"/>
      <c r="C294" s="134"/>
      <c r="D294" s="134"/>
      <c r="E294" s="135"/>
      <c r="F294" s="52"/>
      <c r="G294" s="52"/>
      <c r="H294" s="52"/>
      <c r="I294" s="34">
        <v>350</v>
      </c>
    </row>
    <row r="295" spans="1:9" ht="42.75" customHeight="1" hidden="1">
      <c r="A295" s="147" t="s">
        <v>355</v>
      </c>
      <c r="B295" s="134"/>
      <c r="C295" s="134"/>
      <c r="D295" s="134"/>
      <c r="E295" s="135"/>
      <c r="F295" s="52"/>
      <c r="G295" s="52"/>
      <c r="H295" s="52"/>
      <c r="I295" s="34">
        <f>40.5-4.488</f>
        <v>36.012</v>
      </c>
    </row>
    <row r="296" spans="1:9" ht="40.5" customHeight="1" hidden="1">
      <c r="A296" s="147" t="s">
        <v>1055</v>
      </c>
      <c r="B296" s="134"/>
      <c r="C296" s="134"/>
      <c r="D296" s="134"/>
      <c r="E296" s="135"/>
      <c r="F296" s="52"/>
      <c r="G296" s="52"/>
      <c r="H296" s="52"/>
      <c r="I296" s="34">
        <v>100</v>
      </c>
    </row>
    <row r="297" spans="1:9" ht="40.5" customHeight="1" hidden="1">
      <c r="A297" s="147" t="s">
        <v>115</v>
      </c>
      <c r="B297" s="134"/>
      <c r="C297" s="134"/>
      <c r="D297" s="134"/>
      <c r="E297" s="135"/>
      <c r="F297" s="52"/>
      <c r="G297" s="52"/>
      <c r="H297" s="52"/>
      <c r="I297" s="34">
        <v>400</v>
      </c>
    </row>
    <row r="298" spans="1:9" ht="30.75" customHeight="1" hidden="1">
      <c r="A298" s="147" t="s">
        <v>1057</v>
      </c>
      <c r="B298" s="134"/>
      <c r="C298" s="134"/>
      <c r="D298" s="134"/>
      <c r="E298" s="135"/>
      <c r="F298" s="52"/>
      <c r="G298" s="52"/>
      <c r="H298" s="52"/>
      <c r="I298" s="34">
        <v>31</v>
      </c>
    </row>
    <row r="299" spans="1:9" ht="30.75" customHeight="1" hidden="1">
      <c r="A299" s="147" t="s">
        <v>1058</v>
      </c>
      <c r="B299" s="134"/>
      <c r="C299" s="134"/>
      <c r="D299" s="134"/>
      <c r="E299" s="135"/>
      <c r="F299" s="52"/>
      <c r="G299" s="52"/>
      <c r="H299" s="52"/>
      <c r="I299" s="34">
        <v>56.8</v>
      </c>
    </row>
    <row r="300" spans="1:9" ht="23.25" customHeight="1" hidden="1">
      <c r="A300" s="147" t="s">
        <v>620</v>
      </c>
      <c r="B300" s="134"/>
      <c r="C300" s="134"/>
      <c r="D300" s="134"/>
      <c r="E300" s="135"/>
      <c r="F300" s="52"/>
      <c r="G300" s="52"/>
      <c r="H300" s="52"/>
      <c r="I300" s="34">
        <v>346.8</v>
      </c>
    </row>
    <row r="301" spans="1:9" ht="30">
      <c r="A301" s="14" t="s">
        <v>438</v>
      </c>
      <c r="B301" s="16">
        <v>2040</v>
      </c>
      <c r="C301" s="14" t="s">
        <v>439</v>
      </c>
      <c r="D301" s="17" t="s">
        <v>332</v>
      </c>
      <c r="E301" s="15" t="s">
        <v>756</v>
      </c>
      <c r="F301" s="5"/>
      <c r="G301" s="5"/>
      <c r="H301" s="5"/>
      <c r="I301" s="34">
        <v>5086.4</v>
      </c>
    </row>
    <row r="302" spans="1:9" ht="15.75" hidden="1">
      <c r="A302" s="14"/>
      <c r="B302" s="16"/>
      <c r="C302" s="14"/>
      <c r="D302" s="17"/>
      <c r="E302" s="15" t="s">
        <v>756</v>
      </c>
      <c r="F302" s="5"/>
      <c r="G302" s="5"/>
      <c r="H302" s="5"/>
      <c r="I302" s="34"/>
    </row>
    <row r="303" spans="1:9" ht="16.5" customHeight="1" hidden="1">
      <c r="A303" s="144" t="s">
        <v>884</v>
      </c>
      <c r="B303" s="144"/>
      <c r="C303" s="144"/>
      <c r="D303" s="144"/>
      <c r="E303" s="144"/>
      <c r="F303" s="52"/>
      <c r="G303" s="52"/>
      <c r="H303" s="52"/>
      <c r="I303" s="34">
        <f>500-4.4</f>
        <v>495.6</v>
      </c>
    </row>
    <row r="304" spans="1:9" ht="32.25" customHeight="1" hidden="1">
      <c r="A304" s="144" t="s">
        <v>266</v>
      </c>
      <c r="B304" s="144"/>
      <c r="C304" s="144"/>
      <c r="D304" s="144"/>
      <c r="E304" s="144"/>
      <c r="F304" s="52"/>
      <c r="G304" s="52"/>
      <c r="H304" s="52"/>
      <c r="I304" s="34"/>
    </row>
    <row r="305" spans="1:9" ht="33.75" customHeight="1" hidden="1">
      <c r="A305" s="144" t="s">
        <v>459</v>
      </c>
      <c r="B305" s="144"/>
      <c r="C305" s="144"/>
      <c r="D305" s="144"/>
      <c r="E305" s="144"/>
      <c r="F305" s="52"/>
      <c r="G305" s="52"/>
      <c r="H305" s="52"/>
      <c r="I305" s="34">
        <f>300-300</f>
        <v>0</v>
      </c>
    </row>
    <row r="306" spans="1:9" ht="37.5" customHeight="1" hidden="1">
      <c r="A306" s="144" t="s">
        <v>313</v>
      </c>
      <c r="B306" s="144"/>
      <c r="C306" s="144"/>
      <c r="D306" s="144"/>
      <c r="E306" s="144"/>
      <c r="F306" s="52"/>
      <c r="G306" s="52"/>
      <c r="H306" s="52"/>
      <c r="I306" s="34"/>
    </row>
    <row r="307" spans="1:9" ht="33" customHeight="1" hidden="1">
      <c r="A307" s="144" t="s">
        <v>1096</v>
      </c>
      <c r="B307" s="144"/>
      <c r="C307" s="144"/>
      <c r="D307" s="144"/>
      <c r="E307" s="144"/>
      <c r="F307" s="52"/>
      <c r="G307" s="52"/>
      <c r="H307" s="52"/>
      <c r="I307" s="34"/>
    </row>
    <row r="308" spans="1:9" ht="28.5" customHeight="1" hidden="1">
      <c r="A308" s="144" t="s">
        <v>460</v>
      </c>
      <c r="B308" s="144"/>
      <c r="C308" s="144"/>
      <c r="D308" s="144"/>
      <c r="E308" s="144"/>
      <c r="F308" s="52"/>
      <c r="G308" s="52"/>
      <c r="H308" s="52"/>
      <c r="I308" s="34">
        <f>200-200</f>
        <v>0</v>
      </c>
    </row>
    <row r="309" spans="1:9" ht="30" customHeight="1" hidden="1">
      <c r="A309" s="144" t="s">
        <v>388</v>
      </c>
      <c r="B309" s="144"/>
      <c r="C309" s="144"/>
      <c r="D309" s="144"/>
      <c r="E309" s="144"/>
      <c r="F309" s="52"/>
      <c r="G309" s="52"/>
      <c r="H309" s="52"/>
      <c r="I309" s="34">
        <f>200-200</f>
        <v>0</v>
      </c>
    </row>
    <row r="310" spans="1:9" ht="30" customHeight="1" hidden="1">
      <c r="A310" s="144" t="s">
        <v>1091</v>
      </c>
      <c r="B310" s="144"/>
      <c r="C310" s="144"/>
      <c r="D310" s="144"/>
      <c r="E310" s="144"/>
      <c r="F310" s="52"/>
      <c r="G310" s="52"/>
      <c r="H310" s="52"/>
      <c r="I310" s="34">
        <v>200</v>
      </c>
    </row>
    <row r="311" spans="1:9" ht="16.5" customHeight="1" hidden="1">
      <c r="A311" s="144" t="s">
        <v>462</v>
      </c>
      <c r="B311" s="144"/>
      <c r="C311" s="144"/>
      <c r="D311" s="144"/>
      <c r="E311" s="144"/>
      <c r="F311" s="52"/>
      <c r="G311" s="52"/>
      <c r="H311" s="52"/>
      <c r="I311" s="34"/>
    </row>
    <row r="312" spans="1:9" ht="16.5" customHeight="1" hidden="1">
      <c r="A312" s="144" t="s">
        <v>463</v>
      </c>
      <c r="B312" s="144"/>
      <c r="C312" s="144"/>
      <c r="D312" s="144"/>
      <c r="E312" s="144"/>
      <c r="F312" s="52"/>
      <c r="G312" s="52"/>
      <c r="H312" s="52"/>
      <c r="I312" s="34"/>
    </row>
    <row r="313" spans="1:9" ht="16.5" customHeight="1" hidden="1">
      <c r="A313" s="144" t="s">
        <v>464</v>
      </c>
      <c r="B313" s="144"/>
      <c r="C313" s="144"/>
      <c r="D313" s="144"/>
      <c r="E313" s="144"/>
      <c r="F313" s="52"/>
      <c r="G313" s="52"/>
      <c r="H313" s="52"/>
      <c r="I313" s="34">
        <f>300-300</f>
        <v>0</v>
      </c>
    </row>
    <row r="314" spans="1:9" ht="34.5" customHeight="1" hidden="1">
      <c r="A314" s="144" t="s">
        <v>718</v>
      </c>
      <c r="B314" s="144"/>
      <c r="C314" s="144"/>
      <c r="D314" s="144"/>
      <c r="E314" s="144"/>
      <c r="F314" s="52"/>
      <c r="G314" s="52"/>
      <c r="H314" s="52"/>
      <c r="I314" s="34">
        <v>121</v>
      </c>
    </row>
    <row r="315" spans="1:9" ht="33.75" customHeight="1" hidden="1">
      <c r="A315" s="144" t="s">
        <v>465</v>
      </c>
      <c r="B315" s="144"/>
      <c r="C315" s="144"/>
      <c r="D315" s="144"/>
      <c r="E315" s="144"/>
      <c r="F315" s="52"/>
      <c r="G315" s="52"/>
      <c r="H315" s="52"/>
      <c r="I315" s="34">
        <f>360-360</f>
        <v>0</v>
      </c>
    </row>
    <row r="316" spans="1:9" ht="35.25" customHeight="1" hidden="1">
      <c r="A316" s="144" t="s">
        <v>366</v>
      </c>
      <c r="B316" s="144"/>
      <c r="C316" s="144"/>
      <c r="D316" s="144"/>
      <c r="E316" s="144"/>
      <c r="F316" s="52"/>
      <c r="G316" s="52"/>
      <c r="H316" s="52"/>
      <c r="I316" s="34">
        <f>750-289</f>
        <v>461</v>
      </c>
    </row>
    <row r="317" spans="1:9" ht="35.25" customHeight="1" hidden="1">
      <c r="A317" s="147" t="s">
        <v>110</v>
      </c>
      <c r="B317" s="134"/>
      <c r="C317" s="134"/>
      <c r="D317" s="134"/>
      <c r="E317" s="135"/>
      <c r="F317" s="52"/>
      <c r="G317" s="52"/>
      <c r="H317" s="52"/>
      <c r="I317" s="34">
        <f>289+200</f>
        <v>489</v>
      </c>
    </row>
    <row r="318" spans="1:9" ht="35.25" customHeight="1">
      <c r="A318" s="147" t="s">
        <v>503</v>
      </c>
      <c r="B318" s="134"/>
      <c r="C318" s="134"/>
      <c r="D318" s="134"/>
      <c r="E318" s="135"/>
      <c r="F318" s="52"/>
      <c r="G318" s="52"/>
      <c r="H318" s="52"/>
      <c r="I318" s="34">
        <v>200</v>
      </c>
    </row>
    <row r="319" spans="1:9" s="106" customFormat="1" ht="35.25" customHeight="1">
      <c r="A319" s="147" t="s">
        <v>504</v>
      </c>
      <c r="B319" s="134"/>
      <c r="C319" s="134"/>
      <c r="D319" s="134"/>
      <c r="E319" s="135"/>
      <c r="F319" s="92"/>
      <c r="G319" s="92"/>
      <c r="H319" s="92"/>
      <c r="I319" s="34">
        <v>7.8</v>
      </c>
    </row>
    <row r="320" spans="1:9" ht="45" hidden="1">
      <c r="A320" s="14" t="s">
        <v>440</v>
      </c>
      <c r="B320" s="16">
        <v>2050</v>
      </c>
      <c r="C320" s="14" t="s">
        <v>441</v>
      </c>
      <c r="D320" s="17" t="s">
        <v>442</v>
      </c>
      <c r="E320" s="15" t="s">
        <v>756</v>
      </c>
      <c r="F320" s="5"/>
      <c r="G320" s="5"/>
      <c r="H320" s="5"/>
      <c r="I320" s="34">
        <v>4897.38</v>
      </c>
    </row>
    <row r="321" spans="1:9" ht="30.75" customHeight="1" hidden="1">
      <c r="A321" s="144" t="s">
        <v>885</v>
      </c>
      <c r="B321" s="144"/>
      <c r="C321" s="144"/>
      <c r="D321" s="144"/>
      <c r="E321" s="144"/>
      <c r="F321" s="53"/>
      <c r="G321" s="53"/>
      <c r="H321" s="53"/>
      <c r="I321" s="34"/>
    </row>
    <row r="322" spans="1:9" ht="37.5" customHeight="1" hidden="1">
      <c r="A322" s="144" t="s">
        <v>804</v>
      </c>
      <c r="B322" s="144"/>
      <c r="C322" s="144"/>
      <c r="D322" s="144"/>
      <c r="E322" s="144"/>
      <c r="F322" s="53"/>
      <c r="G322" s="53"/>
      <c r="H322" s="53"/>
      <c r="I322" s="34"/>
    </row>
    <row r="323" spans="1:9" ht="40.5" customHeight="1" hidden="1">
      <c r="A323" s="144" t="s">
        <v>805</v>
      </c>
      <c r="B323" s="144"/>
      <c r="C323" s="144"/>
      <c r="D323" s="144"/>
      <c r="E323" s="144"/>
      <c r="F323" s="53"/>
      <c r="G323" s="53"/>
      <c r="H323" s="53"/>
      <c r="I323" s="34">
        <f>200-200</f>
        <v>0</v>
      </c>
    </row>
    <row r="324" spans="1:9" ht="40.5" customHeight="1" hidden="1">
      <c r="A324" s="144" t="s">
        <v>1092</v>
      </c>
      <c r="B324" s="144"/>
      <c r="C324" s="144"/>
      <c r="D324" s="144"/>
      <c r="E324" s="144"/>
      <c r="F324" s="53"/>
      <c r="G324" s="53"/>
      <c r="H324" s="53"/>
      <c r="I324" s="34">
        <v>100</v>
      </c>
    </row>
    <row r="325" spans="1:9" ht="37.5" customHeight="1" hidden="1">
      <c r="A325" s="144" t="s">
        <v>728</v>
      </c>
      <c r="B325" s="144"/>
      <c r="C325" s="144"/>
      <c r="D325" s="144"/>
      <c r="E325" s="144"/>
      <c r="F325" s="51"/>
      <c r="G325" s="51"/>
      <c r="H325" s="51"/>
      <c r="I325" s="34">
        <f>200-200</f>
        <v>0</v>
      </c>
    </row>
    <row r="326" spans="1:9" ht="38.25" customHeight="1" hidden="1">
      <c r="A326" s="144" t="s">
        <v>729</v>
      </c>
      <c r="B326" s="144"/>
      <c r="C326" s="144"/>
      <c r="D326" s="144"/>
      <c r="E326" s="144"/>
      <c r="F326" s="51"/>
      <c r="G326" s="51"/>
      <c r="H326" s="51"/>
      <c r="I326" s="34">
        <f>1167.68-1167.68</f>
        <v>0</v>
      </c>
    </row>
    <row r="327" spans="1:9" ht="38.25" customHeight="1" hidden="1">
      <c r="A327" s="144" t="s">
        <v>250</v>
      </c>
      <c r="B327" s="144"/>
      <c r="C327" s="144"/>
      <c r="D327" s="144"/>
      <c r="E327" s="144"/>
      <c r="F327" s="51"/>
      <c r="G327" s="51"/>
      <c r="H327" s="51"/>
      <c r="I327" s="34">
        <v>400</v>
      </c>
    </row>
    <row r="328" spans="1:9" ht="46.5" customHeight="1" hidden="1">
      <c r="A328" s="147" t="s">
        <v>830</v>
      </c>
      <c r="B328" s="134"/>
      <c r="C328" s="134"/>
      <c r="D328" s="134"/>
      <c r="E328" s="135"/>
      <c r="F328" s="51"/>
      <c r="G328" s="51"/>
      <c r="H328" s="51"/>
      <c r="I328" s="34">
        <f>1167.68</f>
        <v>1167.68</v>
      </c>
    </row>
    <row r="329" spans="1:9" ht="38.25" customHeight="1" hidden="1">
      <c r="A329" s="84"/>
      <c r="B329" s="85"/>
      <c r="C329" s="85"/>
      <c r="D329" s="85"/>
      <c r="E329" s="86"/>
      <c r="F329" s="51"/>
      <c r="G329" s="51"/>
      <c r="H329" s="51"/>
      <c r="I329" s="34"/>
    </row>
    <row r="330" spans="1:9" ht="30" hidden="1">
      <c r="A330" s="14" t="s">
        <v>443</v>
      </c>
      <c r="B330" s="16">
        <v>2060</v>
      </c>
      <c r="C330" s="14" t="s">
        <v>444</v>
      </c>
      <c r="D330" s="17" t="s">
        <v>238</v>
      </c>
      <c r="E330" s="15" t="s">
        <v>756</v>
      </c>
      <c r="F330" s="5"/>
      <c r="G330" s="5"/>
      <c r="H330" s="5"/>
      <c r="I330" s="34">
        <f>I331</f>
        <v>0</v>
      </c>
    </row>
    <row r="331" spans="1:9" ht="34.5" customHeight="1" hidden="1">
      <c r="A331" s="144" t="s">
        <v>319</v>
      </c>
      <c r="B331" s="144"/>
      <c r="C331" s="144"/>
      <c r="D331" s="144"/>
      <c r="E331" s="144"/>
      <c r="F331" s="51"/>
      <c r="G331" s="51"/>
      <c r="H331" s="51"/>
      <c r="I331" s="34">
        <f>200-200</f>
        <v>0</v>
      </c>
    </row>
    <row r="332" spans="1:9" ht="30">
      <c r="A332" s="14" t="s">
        <v>239</v>
      </c>
      <c r="B332" s="16">
        <v>2070</v>
      </c>
      <c r="C332" s="14" t="s">
        <v>240</v>
      </c>
      <c r="D332" s="17" t="s">
        <v>241</v>
      </c>
      <c r="E332" s="15" t="s">
        <v>756</v>
      </c>
      <c r="F332" s="5"/>
      <c r="G332" s="5"/>
      <c r="H332" s="5"/>
      <c r="I332" s="34">
        <v>8017.483</v>
      </c>
    </row>
    <row r="333" spans="1:9" ht="15.75" hidden="1">
      <c r="A333" s="14"/>
      <c r="B333" s="16"/>
      <c r="C333" s="14"/>
      <c r="D333" s="17"/>
      <c r="E333" s="15" t="s">
        <v>756</v>
      </c>
      <c r="F333" s="5"/>
      <c r="G333" s="5"/>
      <c r="H333" s="5"/>
      <c r="I333" s="34"/>
    </row>
    <row r="334" spans="1:9" ht="33" customHeight="1" hidden="1">
      <c r="A334" s="144" t="s">
        <v>312</v>
      </c>
      <c r="B334" s="144"/>
      <c r="C334" s="144"/>
      <c r="D334" s="144"/>
      <c r="E334" s="144"/>
      <c r="F334" s="51"/>
      <c r="G334" s="51"/>
      <c r="H334" s="51"/>
      <c r="I334" s="34">
        <f>2319.762+281</f>
        <v>2600.762</v>
      </c>
    </row>
    <row r="335" spans="1:9" ht="24.75" customHeight="1" hidden="1">
      <c r="A335" s="147" t="s">
        <v>958</v>
      </c>
      <c r="B335" s="134"/>
      <c r="C335" s="134"/>
      <c r="D335" s="134"/>
      <c r="E335" s="135"/>
      <c r="F335" s="51"/>
      <c r="G335" s="51"/>
      <c r="H335" s="51"/>
      <c r="I335" s="34">
        <v>36</v>
      </c>
    </row>
    <row r="336" spans="1:9" ht="30.75" customHeight="1">
      <c r="A336" s="147" t="s">
        <v>94</v>
      </c>
      <c r="B336" s="134"/>
      <c r="C336" s="134"/>
      <c r="D336" s="134"/>
      <c r="E336" s="135"/>
      <c r="F336" s="51"/>
      <c r="G336" s="51"/>
      <c r="H336" s="51"/>
      <c r="I336" s="34">
        <v>36</v>
      </c>
    </row>
    <row r="337" spans="1:9" ht="36.75" customHeight="1">
      <c r="A337" s="147" t="s">
        <v>0</v>
      </c>
      <c r="B337" s="134"/>
      <c r="C337" s="134"/>
      <c r="D337" s="134"/>
      <c r="E337" s="135"/>
      <c r="F337" s="51"/>
      <c r="G337" s="51"/>
      <c r="H337" s="51"/>
      <c r="I337" s="34">
        <v>36</v>
      </c>
    </row>
    <row r="338" spans="1:9" ht="33" customHeight="1" hidden="1">
      <c r="A338" s="144" t="s">
        <v>375</v>
      </c>
      <c r="B338" s="144"/>
      <c r="C338" s="144"/>
      <c r="D338" s="144"/>
      <c r="E338" s="144"/>
      <c r="F338" s="51"/>
      <c r="G338" s="51"/>
      <c r="H338" s="51"/>
      <c r="I338" s="34">
        <v>36</v>
      </c>
    </row>
    <row r="339" spans="1:9" ht="33" customHeight="1" hidden="1">
      <c r="A339" s="144" t="s">
        <v>249</v>
      </c>
      <c r="B339" s="144"/>
      <c r="C339" s="144"/>
      <c r="D339" s="144"/>
      <c r="E339" s="144"/>
      <c r="F339" s="51"/>
      <c r="G339" s="51"/>
      <c r="H339" s="51"/>
      <c r="I339" s="34">
        <f>599.538+29.1-16.717</f>
        <v>611.921</v>
      </c>
    </row>
    <row r="340" spans="1:9" ht="35.25" customHeight="1" hidden="1">
      <c r="A340" s="144" t="s">
        <v>248</v>
      </c>
      <c r="B340" s="144"/>
      <c r="C340" s="144"/>
      <c r="D340" s="144"/>
      <c r="E340" s="144"/>
      <c r="F340" s="51"/>
      <c r="G340" s="51"/>
      <c r="H340" s="51"/>
      <c r="I340" s="34">
        <f>200-200</f>
        <v>0</v>
      </c>
    </row>
    <row r="341" spans="1:9" ht="35.25" customHeight="1" hidden="1">
      <c r="A341" s="147" t="s">
        <v>218</v>
      </c>
      <c r="B341" s="134"/>
      <c r="C341" s="134"/>
      <c r="D341" s="134"/>
      <c r="E341" s="135"/>
      <c r="F341" s="51"/>
      <c r="G341" s="51"/>
      <c r="H341" s="51"/>
      <c r="I341" s="34">
        <v>45</v>
      </c>
    </row>
    <row r="342" spans="1:9" ht="27" customHeight="1" hidden="1">
      <c r="A342" s="147" t="s">
        <v>960</v>
      </c>
      <c r="B342" s="134"/>
      <c r="C342" s="134"/>
      <c r="D342" s="134"/>
      <c r="E342" s="135"/>
      <c r="F342" s="51"/>
      <c r="G342" s="51"/>
      <c r="H342" s="51"/>
      <c r="I342" s="34">
        <v>36</v>
      </c>
    </row>
    <row r="343" spans="1:9" ht="35.25" customHeight="1" hidden="1">
      <c r="A343" s="147" t="s">
        <v>959</v>
      </c>
      <c r="B343" s="134"/>
      <c r="C343" s="134"/>
      <c r="D343" s="134"/>
      <c r="E343" s="135"/>
      <c r="F343" s="51"/>
      <c r="G343" s="51"/>
      <c r="H343" s="51"/>
      <c r="I343" s="34">
        <v>36</v>
      </c>
    </row>
    <row r="344" spans="1:9" ht="35.25" customHeight="1" hidden="1">
      <c r="A344" s="147" t="s">
        <v>488</v>
      </c>
      <c r="B344" s="134"/>
      <c r="C344" s="134"/>
      <c r="D344" s="134"/>
      <c r="E344" s="135"/>
      <c r="F344" s="51"/>
      <c r="G344" s="51"/>
      <c r="H344" s="51"/>
      <c r="I344" s="34">
        <v>3500</v>
      </c>
    </row>
    <row r="345" spans="1:9" ht="48.75" customHeight="1" hidden="1">
      <c r="A345" s="147" t="s">
        <v>689</v>
      </c>
      <c r="B345" s="134"/>
      <c r="C345" s="134"/>
      <c r="D345" s="134"/>
      <c r="E345" s="135"/>
      <c r="F345" s="51"/>
      <c r="G345" s="51"/>
      <c r="H345" s="51"/>
      <c r="I345" s="34">
        <v>14</v>
      </c>
    </row>
    <row r="346" spans="1:9" ht="30" hidden="1">
      <c r="A346" s="14" t="s">
        <v>242</v>
      </c>
      <c r="B346" s="16">
        <v>2090</v>
      </c>
      <c r="C346" s="14" t="s">
        <v>243</v>
      </c>
      <c r="D346" s="17" t="s">
        <v>244</v>
      </c>
      <c r="E346" s="15" t="s">
        <v>756</v>
      </c>
      <c r="F346" s="5"/>
      <c r="G346" s="5"/>
      <c r="H346" s="5"/>
      <c r="I346" s="34">
        <v>0</v>
      </c>
    </row>
    <row r="347" spans="1:9" ht="22.5" customHeight="1" hidden="1">
      <c r="A347" s="147" t="s">
        <v>834</v>
      </c>
      <c r="B347" s="134"/>
      <c r="C347" s="134"/>
      <c r="D347" s="134"/>
      <c r="E347" s="135"/>
      <c r="F347" s="5"/>
      <c r="G347" s="5"/>
      <c r="H347" s="5"/>
      <c r="I347" s="34">
        <v>0</v>
      </c>
    </row>
    <row r="348" spans="1:9" ht="45" hidden="1">
      <c r="A348" s="14" t="s">
        <v>988</v>
      </c>
      <c r="B348" s="16">
        <v>2120</v>
      </c>
      <c r="C348" s="14" t="s">
        <v>989</v>
      </c>
      <c r="D348" s="15" t="s">
        <v>118</v>
      </c>
      <c r="E348" s="5"/>
      <c r="F348" s="5"/>
      <c r="G348" s="5"/>
      <c r="H348" s="5"/>
      <c r="I348" s="5"/>
    </row>
    <row r="349" spans="1:9" ht="30" hidden="1">
      <c r="A349" s="14" t="s">
        <v>119</v>
      </c>
      <c r="B349" s="16">
        <v>2130</v>
      </c>
      <c r="C349" s="14" t="s">
        <v>120</v>
      </c>
      <c r="D349" s="15" t="s">
        <v>121</v>
      </c>
      <c r="E349" s="5"/>
      <c r="F349" s="5"/>
      <c r="G349" s="5"/>
      <c r="H349" s="5"/>
      <c r="I349" s="5"/>
    </row>
    <row r="350" spans="1:9" ht="15.75" hidden="1">
      <c r="A350" s="14"/>
      <c r="B350" s="16"/>
      <c r="C350" s="14"/>
      <c r="D350" s="24"/>
      <c r="E350" s="5"/>
      <c r="F350" s="5"/>
      <c r="G350" s="5"/>
      <c r="H350" s="5"/>
      <c r="I350" s="5"/>
    </row>
    <row r="351" spans="1:9" ht="23.25" customHeight="1" hidden="1">
      <c r="A351" s="185" t="s">
        <v>834</v>
      </c>
      <c r="B351" s="185"/>
      <c r="C351" s="185"/>
      <c r="D351" s="185"/>
      <c r="E351" s="185"/>
      <c r="F351" s="53"/>
      <c r="G351" s="53"/>
      <c r="H351" s="53"/>
      <c r="I351" s="34"/>
    </row>
    <row r="352" spans="1:9" ht="27.75" customHeight="1" hidden="1">
      <c r="A352" s="12" t="s">
        <v>122</v>
      </c>
      <c r="B352" s="18">
        <v>2150</v>
      </c>
      <c r="C352" s="170" t="s">
        <v>124</v>
      </c>
      <c r="D352" s="170" t="s">
        <v>124</v>
      </c>
      <c r="E352" s="5"/>
      <c r="F352" s="5"/>
      <c r="G352" s="5"/>
      <c r="H352" s="5"/>
      <c r="I352" s="50"/>
    </row>
    <row r="353" spans="1:9" ht="30">
      <c r="A353" s="14" t="s">
        <v>134</v>
      </c>
      <c r="B353" s="16">
        <v>2151</v>
      </c>
      <c r="C353" s="14" t="s">
        <v>135</v>
      </c>
      <c r="D353" s="17" t="s">
        <v>136</v>
      </c>
      <c r="E353" s="15" t="s">
        <v>756</v>
      </c>
      <c r="F353" s="5"/>
      <c r="G353" s="5"/>
      <c r="H353" s="5"/>
      <c r="I353" s="34">
        <v>8765.083</v>
      </c>
    </row>
    <row r="354" spans="1:9" ht="25.5" customHeight="1" hidden="1">
      <c r="A354" s="136" t="s">
        <v>1051</v>
      </c>
      <c r="B354" s="137"/>
      <c r="C354" s="137"/>
      <c r="D354" s="137"/>
      <c r="E354" s="138"/>
      <c r="F354" s="5"/>
      <c r="G354" s="5"/>
      <c r="H354" s="5"/>
      <c r="I354" s="34">
        <f>200-200</f>
        <v>0</v>
      </c>
    </row>
    <row r="355" spans="1:9" ht="25.5" customHeight="1" hidden="1">
      <c r="A355" s="136" t="s">
        <v>356</v>
      </c>
      <c r="B355" s="137"/>
      <c r="C355" s="137"/>
      <c r="D355" s="137"/>
      <c r="E355" s="138"/>
      <c r="F355" s="5"/>
      <c r="G355" s="5"/>
      <c r="H355" s="5"/>
      <c r="I355" s="34">
        <f>200-54.712</f>
        <v>145.288</v>
      </c>
    </row>
    <row r="356" spans="1:9" ht="41.25" customHeight="1" hidden="1">
      <c r="A356" s="136" t="s">
        <v>417</v>
      </c>
      <c r="B356" s="137"/>
      <c r="C356" s="137"/>
      <c r="D356" s="137"/>
      <c r="E356" s="138"/>
      <c r="F356" s="5"/>
      <c r="G356" s="5"/>
      <c r="H356" s="5"/>
      <c r="I356" s="34">
        <v>54.712</v>
      </c>
    </row>
    <row r="357" spans="1:9" ht="28.5" customHeight="1" hidden="1">
      <c r="A357" s="136" t="s">
        <v>692</v>
      </c>
      <c r="B357" s="137"/>
      <c r="C357" s="137"/>
      <c r="D357" s="137"/>
      <c r="E357" s="138"/>
      <c r="F357" s="5"/>
      <c r="G357" s="5"/>
      <c r="H357" s="5"/>
      <c r="I357" s="34">
        <v>520</v>
      </c>
    </row>
    <row r="358" spans="1:9" ht="25.5" customHeight="1" hidden="1">
      <c r="A358" s="136" t="s">
        <v>357</v>
      </c>
      <c r="B358" s="137"/>
      <c r="C358" s="137"/>
      <c r="D358" s="137"/>
      <c r="E358" s="138"/>
      <c r="F358" s="5"/>
      <c r="G358" s="5"/>
      <c r="H358" s="5"/>
      <c r="I358" s="34"/>
    </row>
    <row r="359" spans="1:9" ht="25.5" customHeight="1" hidden="1">
      <c r="A359" s="147" t="s">
        <v>309</v>
      </c>
      <c r="B359" s="134"/>
      <c r="C359" s="134"/>
      <c r="D359" s="134"/>
      <c r="E359" s="135"/>
      <c r="F359" s="5"/>
      <c r="G359" s="5"/>
      <c r="H359" s="5"/>
      <c r="I359" s="34">
        <f>540+440</f>
        <v>980</v>
      </c>
    </row>
    <row r="360" spans="1:9" ht="30" customHeight="1" hidden="1">
      <c r="A360" s="147" t="s">
        <v>373</v>
      </c>
      <c r="B360" s="134"/>
      <c r="C360" s="134"/>
      <c r="D360" s="134"/>
      <c r="E360" s="135"/>
      <c r="F360" s="5"/>
      <c r="G360" s="5"/>
      <c r="H360" s="5"/>
      <c r="I360" s="34">
        <v>440</v>
      </c>
    </row>
    <row r="361" spans="1:9" ht="36.75" customHeight="1" hidden="1">
      <c r="A361" s="147" t="s">
        <v>116</v>
      </c>
      <c r="B361" s="134"/>
      <c r="C361" s="134"/>
      <c r="D361" s="134"/>
      <c r="E361" s="135"/>
      <c r="F361" s="5"/>
      <c r="G361" s="5"/>
      <c r="H361" s="5"/>
      <c r="I361" s="34">
        <f>135-9</f>
        <v>126</v>
      </c>
    </row>
    <row r="362" spans="1:9" ht="34.5" customHeight="1" hidden="1">
      <c r="A362" s="136" t="s">
        <v>414</v>
      </c>
      <c r="B362" s="137"/>
      <c r="C362" s="137"/>
      <c r="D362" s="137"/>
      <c r="E362" s="138"/>
      <c r="F362" s="5"/>
      <c r="G362" s="5"/>
      <c r="H362" s="5"/>
      <c r="I362" s="34">
        <v>1500</v>
      </c>
    </row>
    <row r="363" spans="1:9" ht="34.5" customHeight="1" hidden="1">
      <c r="A363" s="136" t="s">
        <v>894</v>
      </c>
      <c r="B363" s="137"/>
      <c r="C363" s="137"/>
      <c r="D363" s="137"/>
      <c r="E363" s="138"/>
      <c r="F363" s="5"/>
      <c r="G363" s="5"/>
      <c r="H363" s="5"/>
      <c r="I363" s="34">
        <v>13.083</v>
      </c>
    </row>
    <row r="364" spans="1:9" ht="34.5" customHeight="1" hidden="1">
      <c r="A364" s="136" t="s">
        <v>892</v>
      </c>
      <c r="B364" s="137"/>
      <c r="C364" s="137"/>
      <c r="D364" s="137"/>
      <c r="E364" s="138"/>
      <c r="F364" s="5"/>
      <c r="G364" s="5"/>
      <c r="H364" s="5"/>
      <c r="I364" s="34">
        <v>1000</v>
      </c>
    </row>
    <row r="365" spans="1:9" ht="34.5" customHeight="1" hidden="1">
      <c r="A365" s="136" t="s">
        <v>893</v>
      </c>
      <c r="B365" s="137"/>
      <c r="C365" s="137"/>
      <c r="D365" s="137"/>
      <c r="E365" s="138"/>
      <c r="F365" s="5"/>
      <c r="G365" s="5"/>
      <c r="H365" s="5"/>
      <c r="I365" s="34">
        <v>40</v>
      </c>
    </row>
    <row r="366" spans="1:9" ht="32.25" customHeight="1" hidden="1">
      <c r="A366" s="136" t="s">
        <v>70</v>
      </c>
      <c r="B366" s="137"/>
      <c r="C366" s="137"/>
      <c r="D366" s="137"/>
      <c r="E366" s="138"/>
      <c r="F366" s="5"/>
      <c r="G366" s="5"/>
      <c r="H366" s="5"/>
      <c r="I366" s="34">
        <f>10+40</f>
        <v>50</v>
      </c>
    </row>
    <row r="367" spans="1:9" ht="32.25" customHeight="1" hidden="1">
      <c r="A367" s="136" t="s">
        <v>693</v>
      </c>
      <c r="B367" s="137"/>
      <c r="C367" s="137"/>
      <c r="D367" s="137"/>
      <c r="E367" s="138"/>
      <c r="F367" s="5"/>
      <c r="G367" s="5"/>
      <c r="H367" s="5"/>
      <c r="I367" s="34">
        <v>15</v>
      </c>
    </row>
    <row r="368" spans="1:9" ht="32.25" customHeight="1">
      <c r="A368" s="136" t="s">
        <v>613</v>
      </c>
      <c r="B368" s="137"/>
      <c r="C368" s="137"/>
      <c r="D368" s="137"/>
      <c r="E368" s="138"/>
      <c r="F368" s="5"/>
      <c r="G368" s="5"/>
      <c r="H368" s="5"/>
      <c r="I368" s="34">
        <v>36</v>
      </c>
    </row>
    <row r="369" spans="1:9" ht="32.25" customHeight="1">
      <c r="A369" s="136" t="s">
        <v>614</v>
      </c>
      <c r="B369" s="137"/>
      <c r="C369" s="137"/>
      <c r="D369" s="137"/>
      <c r="E369" s="138"/>
      <c r="F369" s="5"/>
      <c r="G369" s="5"/>
      <c r="H369" s="5"/>
      <c r="I369" s="34">
        <v>36</v>
      </c>
    </row>
    <row r="370" spans="1:9" ht="32.25" customHeight="1">
      <c r="A370" s="136" t="s">
        <v>615</v>
      </c>
      <c r="B370" s="137"/>
      <c r="C370" s="137"/>
      <c r="D370" s="137"/>
      <c r="E370" s="138"/>
      <c r="F370" s="5"/>
      <c r="G370" s="5"/>
      <c r="H370" s="5"/>
      <c r="I370" s="34">
        <v>36</v>
      </c>
    </row>
    <row r="371" spans="1:9" ht="32.25" customHeight="1" hidden="1">
      <c r="A371" s="147" t="s">
        <v>488</v>
      </c>
      <c r="B371" s="134"/>
      <c r="C371" s="134"/>
      <c r="D371" s="134"/>
      <c r="E371" s="135"/>
      <c r="F371" s="51"/>
      <c r="G371" s="51"/>
      <c r="H371" s="51"/>
      <c r="I371" s="34">
        <v>3500</v>
      </c>
    </row>
    <row r="372" spans="1:9" ht="36" hidden="1">
      <c r="A372" s="26"/>
      <c r="B372" s="27"/>
      <c r="C372" s="26"/>
      <c r="D372" s="22" t="s">
        <v>1093</v>
      </c>
      <c r="E372" s="5"/>
      <c r="F372" s="5"/>
      <c r="G372" s="5"/>
      <c r="H372" s="5"/>
      <c r="I372" s="5"/>
    </row>
    <row r="373" spans="1:9" ht="36" hidden="1">
      <c r="A373" s="26"/>
      <c r="B373" s="27"/>
      <c r="C373" s="26"/>
      <c r="D373" s="22" t="s">
        <v>833</v>
      </c>
      <c r="E373" s="5"/>
      <c r="F373" s="5"/>
      <c r="G373" s="5"/>
      <c r="H373" s="5"/>
      <c r="I373" s="5"/>
    </row>
    <row r="374" spans="1:9" ht="72" hidden="1">
      <c r="A374" s="26"/>
      <c r="B374" s="27"/>
      <c r="C374" s="26"/>
      <c r="D374" s="22" t="s">
        <v>83</v>
      </c>
      <c r="E374" s="5"/>
      <c r="F374" s="5"/>
      <c r="G374" s="5"/>
      <c r="H374" s="5"/>
      <c r="I374" s="5"/>
    </row>
    <row r="375" spans="1:9" ht="24" hidden="1">
      <c r="A375" s="26"/>
      <c r="B375" s="27"/>
      <c r="C375" s="26"/>
      <c r="D375" s="22" t="s">
        <v>84</v>
      </c>
      <c r="E375" s="5"/>
      <c r="F375" s="5"/>
      <c r="G375" s="5"/>
      <c r="H375" s="5"/>
      <c r="I375" s="5"/>
    </row>
    <row r="376" spans="1:9" ht="25.5" hidden="1">
      <c r="A376" s="25" t="s">
        <v>85</v>
      </c>
      <c r="B376" s="27">
        <v>2146</v>
      </c>
      <c r="C376" s="25" t="s">
        <v>123</v>
      </c>
      <c r="D376" s="22" t="s">
        <v>86</v>
      </c>
      <c r="E376" s="5"/>
      <c r="F376" s="5"/>
      <c r="G376" s="5"/>
      <c r="H376" s="5"/>
      <c r="I376" s="5"/>
    </row>
    <row r="377" spans="1:9" ht="24" hidden="1">
      <c r="A377" s="26"/>
      <c r="B377" s="27"/>
      <c r="C377" s="26"/>
      <c r="D377" s="22" t="s">
        <v>87</v>
      </c>
      <c r="E377" s="5"/>
      <c r="F377" s="5"/>
      <c r="G377" s="5"/>
      <c r="H377" s="5"/>
      <c r="I377" s="5"/>
    </row>
    <row r="378" spans="1:9" ht="96" hidden="1">
      <c r="A378" s="26"/>
      <c r="B378" s="27"/>
      <c r="C378" s="26"/>
      <c r="D378" s="22" t="s">
        <v>88</v>
      </c>
      <c r="E378" s="5"/>
      <c r="F378" s="5"/>
      <c r="G378" s="5"/>
      <c r="H378" s="5"/>
      <c r="I378" s="5"/>
    </row>
    <row r="379" spans="1:9" ht="15.75" hidden="1">
      <c r="A379" s="14"/>
      <c r="B379" s="16"/>
      <c r="C379" s="14"/>
      <c r="D379" s="15"/>
      <c r="E379" s="5"/>
      <c r="F379" s="5"/>
      <c r="G379" s="5"/>
      <c r="H379" s="5"/>
      <c r="I379" s="5"/>
    </row>
    <row r="380" spans="1:9" ht="45" hidden="1">
      <c r="A380" s="14" t="s">
        <v>213</v>
      </c>
      <c r="B380" s="16">
        <v>2144</v>
      </c>
      <c r="C380" s="14" t="s">
        <v>214</v>
      </c>
      <c r="D380" s="17" t="s">
        <v>346</v>
      </c>
      <c r="E380" s="5"/>
      <c r="F380" s="5"/>
      <c r="G380" s="5"/>
      <c r="H380" s="5"/>
      <c r="I380" s="5"/>
    </row>
    <row r="381" spans="1:9" ht="30" hidden="1">
      <c r="A381" s="14" t="s">
        <v>310</v>
      </c>
      <c r="B381" s="16">
        <v>2152</v>
      </c>
      <c r="C381" s="14" t="s">
        <v>135</v>
      </c>
      <c r="D381" s="17" t="s">
        <v>311</v>
      </c>
      <c r="E381" s="15" t="s">
        <v>756</v>
      </c>
      <c r="F381" s="5"/>
      <c r="G381" s="5"/>
      <c r="H381" s="5"/>
      <c r="I381" s="34">
        <v>1390</v>
      </c>
    </row>
    <row r="382" spans="1:9" ht="34.5" customHeight="1" hidden="1">
      <c r="A382" s="136" t="s">
        <v>368</v>
      </c>
      <c r="B382" s="137"/>
      <c r="C382" s="137"/>
      <c r="D382" s="137"/>
      <c r="E382" s="138"/>
      <c r="F382" s="5"/>
      <c r="G382" s="5"/>
      <c r="H382" s="5"/>
      <c r="I382" s="34">
        <f>1000+390</f>
        <v>1390</v>
      </c>
    </row>
    <row r="383" spans="1:9" ht="15.75" hidden="1">
      <c r="A383" s="14"/>
      <c r="B383" s="16"/>
      <c r="C383" s="14"/>
      <c r="D383" s="17"/>
      <c r="E383" s="5"/>
      <c r="F383" s="5"/>
      <c r="G383" s="5"/>
      <c r="H383" s="5"/>
      <c r="I383" s="5"/>
    </row>
    <row r="384" spans="1:9" ht="15.75" hidden="1">
      <c r="A384" s="14"/>
      <c r="B384" s="16"/>
      <c r="C384" s="14"/>
      <c r="D384" s="17"/>
      <c r="E384" s="5"/>
      <c r="F384" s="5"/>
      <c r="G384" s="5"/>
      <c r="H384" s="5"/>
      <c r="I384" s="5"/>
    </row>
    <row r="385" spans="1:9" ht="15.75">
      <c r="A385" s="12" t="s">
        <v>347</v>
      </c>
      <c r="B385" s="18">
        <v>4000</v>
      </c>
      <c r="C385" s="130" t="s">
        <v>796</v>
      </c>
      <c r="D385" s="130"/>
      <c r="E385" s="5"/>
      <c r="F385" s="5"/>
      <c r="G385" s="5"/>
      <c r="H385" s="5"/>
      <c r="I385" s="5"/>
    </row>
    <row r="386" spans="1:9" ht="30">
      <c r="A386" s="14" t="s">
        <v>348</v>
      </c>
      <c r="B386" s="16">
        <v>4030</v>
      </c>
      <c r="C386" s="14" t="s">
        <v>349</v>
      </c>
      <c r="D386" s="17" t="s">
        <v>350</v>
      </c>
      <c r="E386" s="5"/>
      <c r="F386" s="5"/>
      <c r="G386" s="5"/>
      <c r="H386" s="5"/>
      <c r="I386" s="34">
        <f>I387</f>
        <v>22.5</v>
      </c>
    </row>
    <row r="387" spans="1:9" ht="36.75" customHeight="1">
      <c r="A387" s="147" t="s">
        <v>501</v>
      </c>
      <c r="B387" s="134"/>
      <c r="C387" s="134"/>
      <c r="D387" s="134"/>
      <c r="E387" s="135"/>
      <c r="F387" s="5"/>
      <c r="G387" s="5"/>
      <c r="H387" s="5"/>
      <c r="I387" s="34">
        <v>22.5</v>
      </c>
    </row>
    <row r="388" spans="1:9" ht="30" customHeight="1" hidden="1">
      <c r="A388" s="12" t="s">
        <v>727</v>
      </c>
      <c r="B388" s="18">
        <v>8300</v>
      </c>
      <c r="C388" s="130" t="s">
        <v>842</v>
      </c>
      <c r="D388" s="130"/>
      <c r="E388" s="5"/>
      <c r="F388" s="5"/>
      <c r="G388" s="5"/>
      <c r="H388" s="5"/>
      <c r="I388" s="5"/>
    </row>
    <row r="389" spans="1:9" ht="30" customHeight="1" hidden="1">
      <c r="A389" s="14" t="s">
        <v>843</v>
      </c>
      <c r="B389" s="16">
        <v>8330</v>
      </c>
      <c r="C389" s="14" t="s">
        <v>844</v>
      </c>
      <c r="D389" s="17" t="s">
        <v>629</v>
      </c>
      <c r="E389" s="5"/>
      <c r="F389" s="5"/>
      <c r="G389" s="5"/>
      <c r="H389" s="5"/>
      <c r="I389" s="5"/>
    </row>
    <row r="390" spans="1:9" ht="31.5" customHeight="1" hidden="1">
      <c r="A390" s="14" t="s">
        <v>630</v>
      </c>
      <c r="B390" s="16">
        <v>8340</v>
      </c>
      <c r="C390" s="14" t="s">
        <v>631</v>
      </c>
      <c r="D390" s="28" t="s">
        <v>632</v>
      </c>
      <c r="E390" s="5"/>
      <c r="F390" s="5"/>
      <c r="G390" s="5"/>
      <c r="H390" s="5"/>
      <c r="I390" s="5"/>
    </row>
    <row r="391" spans="1:9" ht="15.75" customHeight="1" hidden="1">
      <c r="A391" s="12" t="s">
        <v>633</v>
      </c>
      <c r="B391" s="18">
        <v>7300</v>
      </c>
      <c r="C391" s="170" t="s">
        <v>580</v>
      </c>
      <c r="D391" s="170"/>
      <c r="E391" s="5"/>
      <c r="F391" s="5"/>
      <c r="G391" s="5"/>
      <c r="H391" s="5"/>
      <c r="I391" s="5"/>
    </row>
    <row r="392" spans="1:9" ht="31.5" customHeight="1" hidden="1">
      <c r="A392" s="14" t="s">
        <v>634</v>
      </c>
      <c r="B392" s="16">
        <v>7322</v>
      </c>
      <c r="C392" s="14" t="s">
        <v>635</v>
      </c>
      <c r="D392" s="51" t="s">
        <v>636</v>
      </c>
      <c r="E392" s="15" t="s">
        <v>756</v>
      </c>
      <c r="F392" s="5"/>
      <c r="G392" s="5"/>
      <c r="H392" s="5"/>
      <c r="I392" s="5"/>
    </row>
    <row r="393" spans="1:9" ht="15.75" customHeight="1" hidden="1">
      <c r="A393" s="12" t="s">
        <v>174</v>
      </c>
      <c r="B393" s="18">
        <v>7360</v>
      </c>
      <c r="C393" s="152" t="s">
        <v>486</v>
      </c>
      <c r="D393" s="152"/>
      <c r="E393" s="15"/>
      <c r="F393" s="5"/>
      <c r="G393" s="5"/>
      <c r="H393" s="5"/>
      <c r="I393" s="5"/>
    </row>
    <row r="394" spans="1:9" ht="60" customHeight="1" hidden="1">
      <c r="A394" s="14" t="s">
        <v>524</v>
      </c>
      <c r="B394" s="16">
        <v>7361</v>
      </c>
      <c r="C394" s="14" t="s">
        <v>936</v>
      </c>
      <c r="D394" s="17" t="s">
        <v>748</v>
      </c>
      <c r="E394" s="15" t="s">
        <v>756</v>
      </c>
      <c r="F394" s="14"/>
      <c r="G394" s="16"/>
      <c r="H394" s="14"/>
      <c r="I394" s="62">
        <f>SUM(I395:I396)</f>
        <v>2310.1</v>
      </c>
    </row>
    <row r="395" spans="1:9" ht="33" customHeight="1" hidden="1">
      <c r="A395" s="147" t="s">
        <v>749</v>
      </c>
      <c r="B395" s="134" t="s">
        <v>749</v>
      </c>
      <c r="C395" s="134" t="s">
        <v>749</v>
      </c>
      <c r="D395" s="134" t="s">
        <v>749</v>
      </c>
      <c r="E395" s="135" t="s">
        <v>749</v>
      </c>
      <c r="F395" s="14"/>
      <c r="G395" s="16"/>
      <c r="H395" s="14"/>
      <c r="I395" s="80">
        <v>1310.1</v>
      </c>
    </row>
    <row r="396" spans="1:9" ht="30.75" customHeight="1" hidden="1">
      <c r="A396" s="147" t="s">
        <v>1033</v>
      </c>
      <c r="B396" s="134" t="s">
        <v>1094</v>
      </c>
      <c r="C396" s="134" t="s">
        <v>1094</v>
      </c>
      <c r="D396" s="134" t="s">
        <v>1094</v>
      </c>
      <c r="E396" s="135" t="s">
        <v>1094</v>
      </c>
      <c r="F396" s="14"/>
      <c r="G396" s="16"/>
      <c r="H396" s="14"/>
      <c r="I396" s="80">
        <v>1000</v>
      </c>
    </row>
    <row r="397" spans="1:9" ht="60">
      <c r="A397" s="14" t="s">
        <v>487</v>
      </c>
      <c r="B397" s="16">
        <v>7363</v>
      </c>
      <c r="C397" s="14" t="s">
        <v>936</v>
      </c>
      <c r="D397" s="17" t="s">
        <v>952</v>
      </c>
      <c r="E397" s="15" t="s">
        <v>756</v>
      </c>
      <c r="F397" s="5"/>
      <c r="G397" s="5"/>
      <c r="H397" s="5"/>
      <c r="I397" s="60">
        <v>163871.77631000002</v>
      </c>
    </row>
    <row r="398" spans="1:9" ht="35.25" customHeight="1" hidden="1">
      <c r="A398" s="19" t="s">
        <v>487</v>
      </c>
      <c r="B398" s="21">
        <v>7363</v>
      </c>
      <c r="C398" s="19" t="s">
        <v>936</v>
      </c>
      <c r="D398" s="171" t="s">
        <v>175</v>
      </c>
      <c r="E398" s="171"/>
      <c r="F398" s="5"/>
      <c r="G398" s="5"/>
      <c r="H398" s="5"/>
      <c r="I398" s="72"/>
    </row>
    <row r="399" spans="1:9" ht="38.25" customHeight="1" hidden="1">
      <c r="A399" s="19" t="s">
        <v>487</v>
      </c>
      <c r="B399" s="21">
        <v>7363</v>
      </c>
      <c r="C399" s="19" t="s">
        <v>936</v>
      </c>
      <c r="D399" s="171" t="s">
        <v>528</v>
      </c>
      <c r="E399" s="171"/>
      <c r="F399" s="5"/>
      <c r="G399" s="5"/>
      <c r="H399" s="5"/>
      <c r="I399" s="73"/>
    </row>
    <row r="400" spans="1:9" ht="37.5" customHeight="1" hidden="1">
      <c r="A400" s="19" t="s">
        <v>487</v>
      </c>
      <c r="B400" s="21">
        <v>7363</v>
      </c>
      <c r="C400" s="19" t="s">
        <v>936</v>
      </c>
      <c r="D400" s="171" t="s">
        <v>900</v>
      </c>
      <c r="E400" s="171"/>
      <c r="F400" s="5"/>
      <c r="G400" s="5"/>
      <c r="H400" s="5"/>
      <c r="I400" s="73"/>
    </row>
    <row r="401" spans="1:9" ht="78.75" customHeight="1" hidden="1">
      <c r="A401" s="19" t="s">
        <v>487</v>
      </c>
      <c r="B401" s="21">
        <v>7363</v>
      </c>
      <c r="C401" s="19" t="s">
        <v>936</v>
      </c>
      <c r="D401" s="171" t="s">
        <v>766</v>
      </c>
      <c r="E401" s="171"/>
      <c r="F401" s="5"/>
      <c r="G401" s="5"/>
      <c r="H401" s="5"/>
      <c r="I401" s="72"/>
    </row>
    <row r="402" spans="1:9" ht="33.75" customHeight="1" hidden="1">
      <c r="A402" s="19" t="s">
        <v>487</v>
      </c>
      <c r="B402" s="21">
        <v>7363</v>
      </c>
      <c r="C402" s="19" t="s">
        <v>936</v>
      </c>
      <c r="D402" s="171" t="s">
        <v>767</v>
      </c>
      <c r="E402" s="171"/>
      <c r="F402" s="5"/>
      <c r="G402" s="5"/>
      <c r="H402" s="5"/>
      <c r="I402" s="73"/>
    </row>
    <row r="403" spans="1:9" ht="34.5" customHeight="1" hidden="1">
      <c r="A403" s="19" t="s">
        <v>487</v>
      </c>
      <c r="B403" s="21">
        <v>7363</v>
      </c>
      <c r="C403" s="19" t="s">
        <v>936</v>
      </c>
      <c r="D403" s="171"/>
      <c r="E403" s="171"/>
      <c r="F403" s="5"/>
      <c r="G403" s="5"/>
      <c r="H403" s="5"/>
      <c r="I403" s="72"/>
    </row>
    <row r="404" spans="1:9" ht="15.75" hidden="1">
      <c r="A404" s="19" t="s">
        <v>487</v>
      </c>
      <c r="B404" s="21">
        <v>7363</v>
      </c>
      <c r="C404" s="19" t="s">
        <v>936</v>
      </c>
      <c r="D404" s="171"/>
      <c r="E404" s="171"/>
      <c r="F404" s="5"/>
      <c r="G404" s="5"/>
      <c r="H404" s="5"/>
      <c r="I404" s="73"/>
    </row>
    <row r="405" spans="1:9" ht="34.5" customHeight="1" hidden="1">
      <c r="A405" s="147" t="s">
        <v>386</v>
      </c>
      <c r="B405" s="134"/>
      <c r="C405" s="134"/>
      <c r="D405" s="134"/>
      <c r="E405" s="135"/>
      <c r="F405" s="37"/>
      <c r="G405" s="37"/>
      <c r="H405" s="37"/>
      <c r="I405" s="58">
        <v>97500</v>
      </c>
    </row>
    <row r="406" spans="1:9" ht="15" hidden="1">
      <c r="A406" s="147" t="s">
        <v>993</v>
      </c>
      <c r="B406" s="134"/>
      <c r="C406" s="134"/>
      <c r="D406" s="134"/>
      <c r="E406" s="135"/>
      <c r="F406" s="37"/>
      <c r="G406" s="37"/>
      <c r="H406" s="37"/>
      <c r="I406" s="58">
        <f>3300+99</f>
        <v>3399</v>
      </c>
    </row>
    <row r="407" spans="1:9" ht="36" customHeight="1" hidden="1">
      <c r="A407" s="147" t="s">
        <v>387</v>
      </c>
      <c r="B407" s="134"/>
      <c r="C407" s="134"/>
      <c r="D407" s="134"/>
      <c r="E407" s="135"/>
      <c r="F407" s="37"/>
      <c r="G407" s="37"/>
      <c r="H407" s="37"/>
      <c r="I407" s="58">
        <f>3000+90</f>
        <v>3090</v>
      </c>
    </row>
    <row r="408" spans="1:9" ht="44.25" customHeight="1" hidden="1">
      <c r="A408" s="147" t="s">
        <v>537</v>
      </c>
      <c r="B408" s="134"/>
      <c r="C408" s="134"/>
      <c r="D408" s="134"/>
      <c r="E408" s="135"/>
      <c r="F408" s="37"/>
      <c r="G408" s="37"/>
      <c r="H408" s="37"/>
      <c r="I408" s="58">
        <f>1400+42</f>
        <v>1442</v>
      </c>
    </row>
    <row r="409" spans="1:9" ht="36" customHeight="1" hidden="1">
      <c r="A409" s="147" t="s">
        <v>1069</v>
      </c>
      <c r="B409" s="134"/>
      <c r="C409" s="134"/>
      <c r="D409" s="134"/>
      <c r="E409" s="135"/>
      <c r="F409" s="37"/>
      <c r="G409" s="37"/>
      <c r="H409" s="37"/>
      <c r="I409" s="58">
        <f>500+15</f>
        <v>515</v>
      </c>
    </row>
    <row r="410" spans="1:9" ht="35.25" customHeight="1" hidden="1">
      <c r="A410" s="147" t="s">
        <v>823</v>
      </c>
      <c r="B410" s="134"/>
      <c r="C410" s="134"/>
      <c r="D410" s="134"/>
      <c r="E410" s="135"/>
      <c r="F410" s="37"/>
      <c r="G410" s="37"/>
      <c r="H410" s="37"/>
      <c r="I410" s="58">
        <f>157+4.71</f>
        <v>161.71</v>
      </c>
    </row>
    <row r="411" spans="1:9" ht="33" customHeight="1" hidden="1">
      <c r="A411" s="147" t="s">
        <v>824</v>
      </c>
      <c r="B411" s="134"/>
      <c r="C411" s="134"/>
      <c r="D411" s="134"/>
      <c r="E411" s="135"/>
      <c r="F411" s="37"/>
      <c r="G411" s="37"/>
      <c r="H411" s="37"/>
      <c r="I411" s="58">
        <f>150+4.5</f>
        <v>154.5</v>
      </c>
    </row>
    <row r="412" spans="1:9" ht="31.5" customHeight="1">
      <c r="A412" s="147" t="s">
        <v>54</v>
      </c>
      <c r="B412" s="134"/>
      <c r="C412" s="134"/>
      <c r="D412" s="134"/>
      <c r="E412" s="135"/>
      <c r="F412" s="37"/>
      <c r="G412" s="37"/>
      <c r="H412" s="37"/>
      <c r="I412" s="58">
        <f>1290+38.7</f>
        <v>1328.7</v>
      </c>
    </row>
    <row r="413" spans="1:9" ht="15" hidden="1">
      <c r="A413" s="93"/>
      <c r="B413" s="94"/>
      <c r="C413" s="94"/>
      <c r="D413" s="94"/>
      <c r="E413" s="95"/>
      <c r="F413" s="37"/>
      <c r="G413" s="37"/>
      <c r="H413" s="37"/>
      <c r="I413" s="58"/>
    </row>
    <row r="414" spans="1:9" ht="15" hidden="1">
      <c r="A414" s="93"/>
      <c r="B414" s="94"/>
      <c r="C414" s="94"/>
      <c r="D414" s="94"/>
      <c r="E414" s="95"/>
      <c r="F414" s="37"/>
      <c r="G414" s="37"/>
      <c r="H414" s="37"/>
      <c r="I414" s="58"/>
    </row>
    <row r="415" spans="1:9" ht="15" hidden="1">
      <c r="A415" s="147"/>
      <c r="B415" s="134"/>
      <c r="C415" s="134"/>
      <c r="D415" s="134"/>
      <c r="E415" s="135"/>
      <c r="F415" s="37"/>
      <c r="G415" s="37"/>
      <c r="H415" s="37"/>
      <c r="I415" s="58"/>
    </row>
    <row r="416" spans="1:9" ht="15" hidden="1">
      <c r="A416" s="147"/>
      <c r="B416" s="134"/>
      <c r="C416" s="134"/>
      <c r="D416" s="134"/>
      <c r="E416" s="135"/>
      <c r="F416" s="37"/>
      <c r="G416" s="37"/>
      <c r="H416" s="37"/>
      <c r="I416" s="58"/>
    </row>
    <row r="417" spans="1:9" ht="15" hidden="1">
      <c r="A417" s="147"/>
      <c r="B417" s="134"/>
      <c r="C417" s="134"/>
      <c r="D417" s="134"/>
      <c r="E417" s="135"/>
      <c r="F417" s="37"/>
      <c r="G417" s="37"/>
      <c r="H417" s="37"/>
      <c r="I417" s="58"/>
    </row>
    <row r="418" spans="1:9" ht="15" hidden="1">
      <c r="A418" s="147"/>
      <c r="B418" s="134"/>
      <c r="C418" s="134"/>
      <c r="D418" s="134"/>
      <c r="E418" s="135"/>
      <c r="F418" s="37"/>
      <c r="G418" s="37"/>
      <c r="H418" s="37"/>
      <c r="I418" s="58"/>
    </row>
    <row r="419" spans="1:9" ht="15" hidden="1">
      <c r="A419" s="147"/>
      <c r="B419" s="134"/>
      <c r="C419" s="134"/>
      <c r="D419" s="134"/>
      <c r="E419" s="135"/>
      <c r="F419" s="37"/>
      <c r="G419" s="37"/>
      <c r="H419" s="37"/>
      <c r="I419" s="58"/>
    </row>
    <row r="420" spans="1:9" ht="15" hidden="1">
      <c r="A420" s="147"/>
      <c r="B420" s="134"/>
      <c r="C420" s="134"/>
      <c r="D420" s="134"/>
      <c r="E420" s="135"/>
      <c r="F420" s="37"/>
      <c r="G420" s="37"/>
      <c r="H420" s="37"/>
      <c r="I420" s="58"/>
    </row>
    <row r="421" spans="1:9" ht="15" hidden="1">
      <c r="A421" s="147"/>
      <c r="B421" s="134"/>
      <c r="C421" s="134"/>
      <c r="D421" s="134"/>
      <c r="E421" s="135"/>
      <c r="F421" s="37"/>
      <c r="G421" s="37"/>
      <c r="H421" s="37"/>
      <c r="I421" s="58"/>
    </row>
    <row r="422" spans="1:9" ht="15" hidden="1">
      <c r="A422" s="147"/>
      <c r="B422" s="134"/>
      <c r="C422" s="134"/>
      <c r="D422" s="134"/>
      <c r="E422" s="135"/>
      <c r="F422" s="37"/>
      <c r="G422" s="37"/>
      <c r="H422" s="37"/>
      <c r="I422" s="58"/>
    </row>
    <row r="423" spans="1:9" ht="15" hidden="1">
      <c r="A423" s="147"/>
      <c r="B423" s="134"/>
      <c r="C423" s="134"/>
      <c r="D423" s="134"/>
      <c r="E423" s="135"/>
      <c r="F423" s="37"/>
      <c r="G423" s="37"/>
      <c r="H423" s="37"/>
      <c r="I423" s="58"/>
    </row>
    <row r="424" spans="1:9" ht="15" hidden="1">
      <c r="A424" s="147"/>
      <c r="B424" s="134"/>
      <c r="C424" s="134"/>
      <c r="D424" s="134"/>
      <c r="E424" s="135"/>
      <c r="F424" s="37"/>
      <c r="G424" s="37"/>
      <c r="H424" s="37"/>
      <c r="I424" s="58"/>
    </row>
    <row r="425" spans="1:9" ht="15" hidden="1">
      <c r="A425" s="147"/>
      <c r="B425" s="134"/>
      <c r="C425" s="134"/>
      <c r="D425" s="134"/>
      <c r="E425" s="135"/>
      <c r="F425" s="37"/>
      <c r="G425" s="37"/>
      <c r="H425" s="37"/>
      <c r="I425" s="58"/>
    </row>
    <row r="426" spans="1:9" ht="15" hidden="1">
      <c r="A426" s="147"/>
      <c r="B426" s="134"/>
      <c r="C426" s="134"/>
      <c r="D426" s="134"/>
      <c r="E426" s="135"/>
      <c r="F426" s="37"/>
      <c r="G426" s="37"/>
      <c r="H426" s="37"/>
      <c r="I426" s="58"/>
    </row>
    <row r="427" spans="1:9" ht="15" hidden="1">
      <c r="A427" s="147"/>
      <c r="B427" s="134"/>
      <c r="C427" s="134"/>
      <c r="D427" s="134"/>
      <c r="E427" s="135"/>
      <c r="F427" s="37"/>
      <c r="G427" s="37"/>
      <c r="H427" s="37"/>
      <c r="I427" s="58"/>
    </row>
    <row r="428" spans="1:9" ht="15.75" hidden="1">
      <c r="A428" s="19"/>
      <c r="B428" s="21"/>
      <c r="C428" s="19"/>
      <c r="D428" s="91"/>
      <c r="E428" s="91"/>
      <c r="F428" s="5"/>
      <c r="G428" s="5"/>
      <c r="H428" s="5"/>
      <c r="I428" s="73"/>
    </row>
    <row r="429" spans="1:9" ht="15.75" hidden="1">
      <c r="A429" s="19"/>
      <c r="B429" s="21"/>
      <c r="C429" s="19"/>
      <c r="D429" s="91"/>
      <c r="E429" s="91"/>
      <c r="F429" s="5"/>
      <c r="G429" s="5"/>
      <c r="H429" s="5"/>
      <c r="I429" s="73"/>
    </row>
    <row r="430" spans="1:9" ht="15.75" hidden="1">
      <c r="A430" s="19"/>
      <c r="B430" s="21"/>
      <c r="C430" s="19"/>
      <c r="D430" s="91"/>
      <c r="E430" s="91"/>
      <c r="F430" s="5"/>
      <c r="G430" s="5"/>
      <c r="H430" s="5"/>
      <c r="I430" s="73"/>
    </row>
    <row r="431" spans="1:9" ht="15.75" hidden="1">
      <c r="A431" s="19"/>
      <c r="B431" s="21"/>
      <c r="C431" s="19"/>
      <c r="D431" s="91"/>
      <c r="E431" s="91"/>
      <c r="F431" s="5"/>
      <c r="G431" s="5"/>
      <c r="H431" s="5"/>
      <c r="I431" s="73"/>
    </row>
    <row r="432" spans="1:9" ht="15.75" hidden="1">
      <c r="A432" s="19"/>
      <c r="B432" s="21"/>
      <c r="C432" s="19"/>
      <c r="D432" s="91"/>
      <c r="E432" s="91"/>
      <c r="F432" s="5"/>
      <c r="G432" s="5"/>
      <c r="H432" s="5"/>
      <c r="I432" s="73"/>
    </row>
    <row r="433" spans="1:9" ht="15.75" hidden="1">
      <c r="A433" s="19"/>
      <c r="B433" s="21"/>
      <c r="C433" s="19"/>
      <c r="D433" s="91"/>
      <c r="E433" s="91"/>
      <c r="F433" s="5"/>
      <c r="G433" s="5"/>
      <c r="H433" s="5"/>
      <c r="I433" s="73"/>
    </row>
    <row r="434" spans="1:9" ht="15.75" hidden="1">
      <c r="A434" s="19"/>
      <c r="B434" s="21"/>
      <c r="C434" s="19"/>
      <c r="D434" s="91"/>
      <c r="E434" s="91"/>
      <c r="F434" s="5"/>
      <c r="G434" s="5"/>
      <c r="H434" s="5"/>
      <c r="I434" s="73"/>
    </row>
    <row r="435" spans="1:9" ht="15.75" hidden="1">
      <c r="A435" s="19"/>
      <c r="B435" s="21"/>
      <c r="C435" s="19"/>
      <c r="D435" s="91"/>
      <c r="E435" s="91"/>
      <c r="F435" s="5"/>
      <c r="G435" s="5"/>
      <c r="H435" s="5"/>
      <c r="I435" s="73"/>
    </row>
    <row r="436" spans="1:9" ht="15.75" hidden="1">
      <c r="A436" s="19"/>
      <c r="B436" s="21"/>
      <c r="C436" s="19"/>
      <c r="D436" s="91"/>
      <c r="E436" s="91"/>
      <c r="F436" s="5"/>
      <c r="G436" s="5"/>
      <c r="H436" s="5"/>
      <c r="I436" s="73"/>
    </row>
    <row r="437" spans="1:9" ht="15.75" hidden="1">
      <c r="A437" s="19"/>
      <c r="B437" s="21"/>
      <c r="C437" s="19"/>
      <c r="D437" s="91"/>
      <c r="E437" s="91"/>
      <c r="F437" s="5"/>
      <c r="G437" s="5"/>
      <c r="H437" s="5"/>
      <c r="I437" s="73"/>
    </row>
    <row r="438" spans="1:9" ht="15.75" hidden="1">
      <c r="A438" s="19"/>
      <c r="B438" s="21"/>
      <c r="C438" s="19"/>
      <c r="D438" s="91"/>
      <c r="E438" s="91"/>
      <c r="F438" s="5"/>
      <c r="G438" s="5"/>
      <c r="H438" s="5"/>
      <c r="I438" s="73"/>
    </row>
    <row r="439" spans="1:9" ht="15.75" hidden="1">
      <c r="A439" s="19"/>
      <c r="B439" s="21"/>
      <c r="C439" s="19"/>
      <c r="D439" s="91"/>
      <c r="E439" s="91"/>
      <c r="F439" s="5"/>
      <c r="G439" s="5"/>
      <c r="H439" s="5"/>
      <c r="I439" s="73"/>
    </row>
    <row r="440" spans="1:9" ht="15.75" hidden="1">
      <c r="A440" s="19"/>
      <c r="B440" s="21"/>
      <c r="C440" s="19"/>
      <c r="D440" s="91"/>
      <c r="E440" s="91"/>
      <c r="F440" s="5"/>
      <c r="G440" s="5"/>
      <c r="H440" s="5"/>
      <c r="I440" s="73"/>
    </row>
    <row r="441" spans="1:9" ht="15.75" hidden="1">
      <c r="A441" s="19"/>
      <c r="B441" s="21"/>
      <c r="C441" s="19"/>
      <c r="D441" s="91"/>
      <c r="E441" s="91"/>
      <c r="F441" s="5"/>
      <c r="G441" s="5"/>
      <c r="H441" s="5"/>
      <c r="I441" s="73"/>
    </row>
    <row r="442" spans="1:9" ht="15.75" hidden="1">
      <c r="A442" s="19"/>
      <c r="B442" s="21"/>
      <c r="C442" s="19"/>
      <c r="D442" s="91"/>
      <c r="E442" s="91"/>
      <c r="F442" s="5"/>
      <c r="G442" s="5"/>
      <c r="H442" s="5"/>
      <c r="I442" s="73"/>
    </row>
    <row r="443" spans="1:9" ht="15.75" hidden="1">
      <c r="A443" s="19"/>
      <c r="B443" s="21"/>
      <c r="C443" s="19"/>
      <c r="D443" s="91"/>
      <c r="E443" s="91"/>
      <c r="F443" s="5"/>
      <c r="G443" s="5"/>
      <c r="H443" s="5"/>
      <c r="I443" s="73"/>
    </row>
    <row r="444" spans="1:9" ht="15.75" hidden="1">
      <c r="A444" s="19"/>
      <c r="B444" s="21"/>
      <c r="C444" s="19"/>
      <c r="D444" s="91"/>
      <c r="E444" s="91"/>
      <c r="F444" s="5"/>
      <c r="G444" s="5"/>
      <c r="H444" s="5"/>
      <c r="I444" s="73"/>
    </row>
    <row r="445" spans="1:9" ht="15.75" hidden="1">
      <c r="A445" s="19"/>
      <c r="B445" s="21"/>
      <c r="C445" s="19"/>
      <c r="D445" s="91"/>
      <c r="E445" s="91"/>
      <c r="F445" s="5"/>
      <c r="G445" s="5"/>
      <c r="H445" s="5"/>
      <c r="I445" s="73"/>
    </row>
    <row r="446" spans="1:9" ht="15.75" hidden="1">
      <c r="A446" s="19"/>
      <c r="B446" s="21"/>
      <c r="C446" s="19"/>
      <c r="D446" s="91"/>
      <c r="E446" s="91"/>
      <c r="F446" s="5"/>
      <c r="G446" s="5"/>
      <c r="H446" s="5"/>
      <c r="I446" s="73"/>
    </row>
    <row r="447" spans="1:9" ht="15.75" hidden="1">
      <c r="A447" s="19"/>
      <c r="B447" s="21"/>
      <c r="C447" s="19"/>
      <c r="D447" s="91"/>
      <c r="E447" s="91"/>
      <c r="F447" s="5"/>
      <c r="G447" s="5"/>
      <c r="H447" s="5"/>
      <c r="I447" s="73"/>
    </row>
    <row r="448" spans="1:9" ht="15.75" hidden="1">
      <c r="A448" s="19"/>
      <c r="B448" s="21"/>
      <c r="C448" s="19"/>
      <c r="D448" s="91"/>
      <c r="E448" s="91"/>
      <c r="F448" s="5"/>
      <c r="G448" s="5"/>
      <c r="H448" s="5"/>
      <c r="I448" s="73"/>
    </row>
    <row r="449" spans="1:9" ht="15.75" hidden="1">
      <c r="A449" s="19"/>
      <c r="B449" s="21"/>
      <c r="C449" s="19"/>
      <c r="D449" s="91"/>
      <c r="E449" s="91"/>
      <c r="F449" s="5"/>
      <c r="G449" s="5"/>
      <c r="H449" s="5"/>
      <c r="I449" s="73"/>
    </row>
    <row r="450" spans="1:9" ht="15.75" hidden="1">
      <c r="A450" s="19"/>
      <c r="B450" s="21"/>
      <c r="C450" s="19"/>
      <c r="D450" s="91"/>
      <c r="E450" s="91"/>
      <c r="F450" s="5"/>
      <c r="G450" s="5"/>
      <c r="H450" s="5"/>
      <c r="I450" s="73"/>
    </row>
    <row r="451" spans="1:9" ht="15.75" hidden="1">
      <c r="A451" s="19"/>
      <c r="B451" s="21"/>
      <c r="C451" s="19"/>
      <c r="D451" s="91"/>
      <c r="E451" s="91"/>
      <c r="F451" s="5"/>
      <c r="G451" s="5"/>
      <c r="H451" s="5"/>
      <c r="I451" s="73"/>
    </row>
    <row r="452" spans="1:9" ht="15.75" hidden="1">
      <c r="A452" s="19"/>
      <c r="B452" s="21"/>
      <c r="C452" s="19"/>
      <c r="D452" s="91"/>
      <c r="E452" s="91"/>
      <c r="F452" s="5"/>
      <c r="G452" s="5"/>
      <c r="H452" s="5"/>
      <c r="I452" s="73"/>
    </row>
    <row r="453" spans="1:9" ht="15.75" hidden="1">
      <c r="A453" s="19"/>
      <c r="B453" s="21"/>
      <c r="C453" s="19"/>
      <c r="D453" s="91"/>
      <c r="E453" s="91"/>
      <c r="F453" s="5"/>
      <c r="G453" s="5"/>
      <c r="H453" s="5"/>
      <c r="I453" s="73"/>
    </row>
    <row r="454" spans="1:9" ht="15.75" hidden="1">
      <c r="A454" s="19"/>
      <c r="B454" s="21"/>
      <c r="C454" s="19"/>
      <c r="D454" s="91"/>
      <c r="E454" s="91"/>
      <c r="F454" s="5"/>
      <c r="G454" s="5"/>
      <c r="H454" s="5"/>
      <c r="I454" s="73"/>
    </row>
    <row r="455" spans="1:9" ht="15.75" hidden="1">
      <c r="A455" s="19"/>
      <c r="B455" s="21"/>
      <c r="C455" s="19"/>
      <c r="D455" s="91"/>
      <c r="E455" s="91"/>
      <c r="F455" s="5"/>
      <c r="G455" s="5"/>
      <c r="H455" s="5"/>
      <c r="I455" s="73"/>
    </row>
    <row r="456" spans="1:9" ht="15.75" hidden="1">
      <c r="A456" s="19"/>
      <c r="B456" s="21"/>
      <c r="C456" s="19"/>
      <c r="D456" s="91"/>
      <c r="E456" s="91"/>
      <c r="F456" s="5"/>
      <c r="G456" s="5"/>
      <c r="H456" s="5"/>
      <c r="I456" s="73"/>
    </row>
    <row r="457" spans="1:9" ht="15.75" hidden="1">
      <c r="A457" s="19"/>
      <c r="B457" s="21"/>
      <c r="C457" s="19"/>
      <c r="D457" s="91"/>
      <c r="E457" s="91"/>
      <c r="F457" s="5"/>
      <c r="G457" s="5"/>
      <c r="H457" s="5"/>
      <c r="I457" s="73"/>
    </row>
    <row r="458" spans="1:9" ht="15.75" hidden="1">
      <c r="A458" s="19"/>
      <c r="B458" s="21"/>
      <c r="C458" s="19"/>
      <c r="D458" s="91"/>
      <c r="E458" s="91"/>
      <c r="F458" s="5"/>
      <c r="G458" s="5"/>
      <c r="H458" s="5"/>
      <c r="I458" s="73"/>
    </row>
    <row r="459" spans="1:9" ht="15.75" hidden="1">
      <c r="A459" s="19"/>
      <c r="B459" s="21"/>
      <c r="C459" s="19"/>
      <c r="D459" s="91"/>
      <c r="E459" s="91"/>
      <c r="F459" s="5"/>
      <c r="G459" s="5"/>
      <c r="H459" s="5"/>
      <c r="I459" s="73"/>
    </row>
    <row r="460" spans="1:9" ht="15.75" hidden="1">
      <c r="A460" s="19"/>
      <c r="B460" s="21"/>
      <c r="C460" s="19"/>
      <c r="D460" s="91"/>
      <c r="E460" s="91"/>
      <c r="F460" s="5"/>
      <c r="G460" s="5"/>
      <c r="H460" s="5"/>
      <c r="I460" s="73"/>
    </row>
    <row r="461" spans="1:9" ht="15.75" hidden="1">
      <c r="A461" s="19"/>
      <c r="B461" s="21"/>
      <c r="C461" s="19"/>
      <c r="D461" s="91"/>
      <c r="E461" s="91"/>
      <c r="F461" s="5"/>
      <c r="G461" s="5"/>
      <c r="H461" s="5"/>
      <c r="I461" s="73"/>
    </row>
    <row r="462" spans="1:9" ht="19.5" customHeight="1" hidden="1">
      <c r="A462" s="144" t="s">
        <v>592</v>
      </c>
      <c r="B462" s="144"/>
      <c r="C462" s="144"/>
      <c r="D462" s="144"/>
      <c r="E462" s="144"/>
      <c r="F462" s="53"/>
      <c r="G462" s="53"/>
      <c r="H462" s="53"/>
      <c r="I462" s="34"/>
    </row>
    <row r="463" spans="1:9" ht="20.25" customHeight="1" hidden="1">
      <c r="A463" s="144" t="s">
        <v>907</v>
      </c>
      <c r="B463" s="144"/>
      <c r="C463" s="144"/>
      <c r="D463" s="144"/>
      <c r="E463" s="144"/>
      <c r="F463" s="53"/>
      <c r="G463" s="53"/>
      <c r="H463" s="53"/>
      <c r="I463" s="34"/>
    </row>
    <row r="464" spans="1:9" ht="25.5" customHeight="1">
      <c r="A464" s="12" t="s">
        <v>637</v>
      </c>
      <c r="B464" s="155" t="s">
        <v>26</v>
      </c>
      <c r="C464" s="155"/>
      <c r="D464" s="155"/>
      <c r="E464" s="5"/>
      <c r="F464" s="5"/>
      <c r="G464" s="5"/>
      <c r="H464" s="5"/>
      <c r="I464" s="77">
        <f>I465</f>
        <v>520</v>
      </c>
    </row>
    <row r="465" spans="1:9" s="36" customFormat="1" ht="15.75" customHeight="1">
      <c r="A465" s="13" t="s">
        <v>27</v>
      </c>
      <c r="B465" s="154" t="s">
        <v>26</v>
      </c>
      <c r="C465" s="154"/>
      <c r="D465" s="154"/>
      <c r="E465" s="42"/>
      <c r="F465" s="42"/>
      <c r="G465" s="42"/>
      <c r="H465" s="42"/>
      <c r="I465" s="78">
        <f>I542</f>
        <v>520</v>
      </c>
    </row>
    <row r="466" spans="1:9" s="36" customFormat="1" ht="15.75" hidden="1">
      <c r="A466" s="13" t="s">
        <v>28</v>
      </c>
      <c r="B466" s="38">
        <v>3000</v>
      </c>
      <c r="C466" s="154" t="s">
        <v>275</v>
      </c>
      <c r="D466" s="154"/>
      <c r="E466" s="42"/>
      <c r="F466" s="42"/>
      <c r="G466" s="42"/>
      <c r="H466" s="42"/>
      <c r="I466" s="54"/>
    </row>
    <row r="467" spans="1:9" ht="60.75" customHeight="1" hidden="1">
      <c r="A467" s="12" t="s">
        <v>29</v>
      </c>
      <c r="B467" s="18" t="s">
        <v>30</v>
      </c>
      <c r="C467" s="170" t="s">
        <v>31</v>
      </c>
      <c r="D467" s="170"/>
      <c r="E467" s="5"/>
      <c r="F467" s="5"/>
      <c r="G467" s="5"/>
      <c r="H467" s="5"/>
      <c r="I467" s="50"/>
    </row>
    <row r="468" spans="1:9" ht="60">
      <c r="A468" s="14" t="s">
        <v>32</v>
      </c>
      <c r="B468" s="16">
        <v>3101</v>
      </c>
      <c r="C468" s="14" t="s">
        <v>33</v>
      </c>
      <c r="D468" s="17" t="s">
        <v>668</v>
      </c>
      <c r="E468" s="15" t="s">
        <v>756</v>
      </c>
      <c r="F468" s="5"/>
      <c r="G468" s="5"/>
      <c r="H468" s="5"/>
      <c r="I468" s="34">
        <f>4680+12.883-30</f>
        <v>4662.883</v>
      </c>
    </row>
    <row r="469" spans="1:9" ht="39.75" customHeight="1" hidden="1">
      <c r="A469" s="144" t="s">
        <v>14</v>
      </c>
      <c r="B469" s="144"/>
      <c r="C469" s="144"/>
      <c r="D469" s="144"/>
      <c r="E469" s="144"/>
      <c r="F469" s="53"/>
      <c r="G469" s="53"/>
      <c r="H469" s="53"/>
      <c r="I469" s="34">
        <v>12.883</v>
      </c>
    </row>
    <row r="470" spans="1:9" ht="30.75" customHeight="1" hidden="1">
      <c r="A470" s="144" t="s">
        <v>803</v>
      </c>
      <c r="B470" s="144"/>
      <c r="C470" s="144"/>
      <c r="D470" s="144"/>
      <c r="E470" s="144"/>
      <c r="F470" s="53"/>
      <c r="G470" s="53"/>
      <c r="H470" s="53"/>
      <c r="I470" s="34">
        <f>1300+100</f>
        <v>1400</v>
      </c>
    </row>
    <row r="471" spans="1:9" ht="30.75" customHeight="1" hidden="1">
      <c r="A471" s="144" t="s">
        <v>216</v>
      </c>
      <c r="B471" s="144"/>
      <c r="C471" s="144"/>
      <c r="D471" s="144"/>
      <c r="E471" s="144"/>
      <c r="F471" s="53"/>
      <c r="G471" s="53"/>
      <c r="H471" s="53"/>
      <c r="I471" s="34">
        <v>600</v>
      </c>
    </row>
    <row r="472" spans="1:9" ht="36.75" customHeight="1" hidden="1">
      <c r="A472" s="144" t="s">
        <v>628</v>
      </c>
      <c r="B472" s="144"/>
      <c r="C472" s="144"/>
      <c r="D472" s="144"/>
      <c r="E472" s="144"/>
      <c r="F472" s="53"/>
      <c r="G472" s="53"/>
      <c r="H472" s="53"/>
      <c r="I472" s="34">
        <f>995-100-600</f>
        <v>295</v>
      </c>
    </row>
    <row r="473" spans="1:9" ht="33.75" customHeight="1">
      <c r="A473" s="144" t="s">
        <v>761</v>
      </c>
      <c r="B473" s="144"/>
      <c r="C473" s="144"/>
      <c r="D473" s="144"/>
      <c r="E473" s="144"/>
      <c r="F473" s="53"/>
      <c r="G473" s="53"/>
      <c r="H473" s="53"/>
      <c r="I473" s="34">
        <f>375-375</f>
        <v>0</v>
      </c>
    </row>
    <row r="474" spans="1:9" ht="38.25" customHeight="1">
      <c r="A474" s="144" t="s">
        <v>762</v>
      </c>
      <c r="B474" s="144"/>
      <c r="C474" s="144"/>
      <c r="D474" s="144"/>
      <c r="E474" s="144"/>
      <c r="F474" s="53"/>
      <c r="G474" s="53"/>
      <c r="H474" s="53"/>
      <c r="I474" s="34">
        <f>800-433.7+375</f>
        <v>741.3</v>
      </c>
    </row>
    <row r="475" spans="1:9" ht="38.25" customHeight="1" hidden="1">
      <c r="A475" s="144" t="s">
        <v>157</v>
      </c>
      <c r="B475" s="144"/>
      <c r="C475" s="144"/>
      <c r="D475" s="144"/>
      <c r="E475" s="144"/>
      <c r="F475" s="53"/>
      <c r="G475" s="53"/>
      <c r="H475" s="53"/>
      <c r="I475" s="34">
        <v>38.5</v>
      </c>
    </row>
    <row r="476" spans="1:9" ht="38.25" customHeight="1" hidden="1">
      <c r="A476" s="144" t="s">
        <v>154</v>
      </c>
      <c r="B476" s="144"/>
      <c r="C476" s="144"/>
      <c r="D476" s="144"/>
      <c r="E476" s="144"/>
      <c r="F476" s="53"/>
      <c r="G476" s="53"/>
      <c r="H476" s="53"/>
      <c r="I476" s="34">
        <v>105.2</v>
      </c>
    </row>
    <row r="477" spans="1:9" ht="35.25" customHeight="1" hidden="1">
      <c r="A477" s="144" t="s">
        <v>763</v>
      </c>
      <c r="B477" s="144"/>
      <c r="C477" s="144"/>
      <c r="D477" s="144"/>
      <c r="E477" s="144"/>
      <c r="F477" s="53"/>
      <c r="G477" s="53"/>
      <c r="H477" s="53"/>
      <c r="I477" s="34">
        <f>1500-30</f>
        <v>1470</v>
      </c>
    </row>
    <row r="478" spans="1:9" ht="35.25" customHeight="1" hidden="1">
      <c r="A478" s="144" t="s">
        <v>983</v>
      </c>
      <c r="B478" s="144"/>
      <c r="C478" s="144"/>
      <c r="D478" s="144"/>
      <c r="E478" s="144"/>
      <c r="F478" s="53"/>
      <c r="G478" s="53"/>
      <c r="H478" s="53"/>
      <c r="I478" s="34"/>
    </row>
    <row r="479" spans="1:9" ht="109.5" customHeight="1">
      <c r="A479" s="14" t="s">
        <v>669</v>
      </c>
      <c r="B479" s="16">
        <v>3102</v>
      </c>
      <c r="C479" s="14" t="s">
        <v>670</v>
      </c>
      <c r="D479" s="17" t="s">
        <v>968</v>
      </c>
      <c r="E479" s="15" t="s">
        <v>756</v>
      </c>
      <c r="F479" s="5"/>
      <c r="G479" s="5"/>
      <c r="H479" s="5"/>
      <c r="I479" s="34">
        <v>5903.6</v>
      </c>
    </row>
    <row r="480" spans="1:9" ht="32.25" customHeight="1" hidden="1">
      <c r="A480" s="144" t="s">
        <v>764</v>
      </c>
      <c r="B480" s="144"/>
      <c r="C480" s="144"/>
      <c r="D480" s="144"/>
      <c r="E480" s="144"/>
      <c r="F480" s="53"/>
      <c r="G480" s="53"/>
      <c r="H480" s="53"/>
      <c r="I480" s="34">
        <f>360-79.6</f>
        <v>280.4</v>
      </c>
    </row>
    <row r="481" spans="1:9" ht="37.5" customHeight="1" hidden="1">
      <c r="A481" s="144" t="s">
        <v>44</v>
      </c>
      <c r="B481" s="144"/>
      <c r="C481" s="144"/>
      <c r="D481" s="144"/>
      <c r="E481" s="144"/>
      <c r="F481" s="53"/>
      <c r="G481" s="53"/>
      <c r="H481" s="53"/>
      <c r="I481" s="34">
        <v>79.6</v>
      </c>
    </row>
    <row r="482" spans="1:9" ht="37.5" customHeight="1">
      <c r="A482" s="144" t="s">
        <v>773</v>
      </c>
      <c r="B482" s="144"/>
      <c r="C482" s="144"/>
      <c r="D482" s="144"/>
      <c r="E482" s="144"/>
      <c r="F482" s="53"/>
      <c r="G482" s="53"/>
      <c r="H482" s="53"/>
      <c r="I482" s="34">
        <f>450+100</f>
        <v>550</v>
      </c>
    </row>
    <row r="483" spans="1:9" ht="37.5" customHeight="1">
      <c r="A483" s="144" t="s">
        <v>596</v>
      </c>
      <c r="B483" s="144"/>
      <c r="C483" s="144"/>
      <c r="D483" s="144"/>
      <c r="E483" s="144"/>
      <c r="F483" s="53"/>
      <c r="G483" s="53"/>
      <c r="H483" s="53"/>
      <c r="I483" s="34">
        <f>602.9+149.73</f>
        <v>752.63</v>
      </c>
    </row>
    <row r="484" spans="1:9" ht="37.5" customHeight="1" hidden="1">
      <c r="A484" s="193" t="s">
        <v>510</v>
      </c>
      <c r="B484" s="193"/>
      <c r="C484" s="193"/>
      <c r="D484" s="193"/>
      <c r="E484" s="193"/>
      <c r="F484" s="53"/>
      <c r="G484" s="53"/>
      <c r="H484" s="53"/>
      <c r="I484" s="34">
        <v>92.1</v>
      </c>
    </row>
    <row r="485" spans="1:9" ht="39.75" customHeight="1" hidden="1">
      <c r="A485" s="147" t="s">
        <v>827</v>
      </c>
      <c r="B485" s="134"/>
      <c r="C485" s="134"/>
      <c r="D485" s="134"/>
      <c r="E485" s="135"/>
      <c r="F485" s="5"/>
      <c r="G485" s="5"/>
      <c r="H485" s="5"/>
      <c r="I485" s="34">
        <v>30</v>
      </c>
    </row>
    <row r="486" spans="1:9" ht="39.75" customHeight="1">
      <c r="A486" s="147" t="s">
        <v>395</v>
      </c>
      <c r="B486" s="134"/>
      <c r="C486" s="134"/>
      <c r="D486" s="134"/>
      <c r="E486" s="135"/>
      <c r="F486" s="5"/>
      <c r="G486" s="5"/>
      <c r="H486" s="5"/>
      <c r="I486" s="34">
        <v>160</v>
      </c>
    </row>
    <row r="487" spans="1:9" ht="39.75" customHeight="1">
      <c r="A487" s="147" t="s">
        <v>396</v>
      </c>
      <c r="B487" s="134"/>
      <c r="C487" s="134"/>
      <c r="D487" s="134"/>
      <c r="E487" s="135"/>
      <c r="F487" s="5"/>
      <c r="G487" s="5"/>
      <c r="H487" s="5"/>
      <c r="I487" s="34">
        <f>122-74.801</f>
        <v>47.199</v>
      </c>
    </row>
    <row r="488" spans="1:9" ht="39.75" customHeight="1">
      <c r="A488" s="147" t="s">
        <v>626</v>
      </c>
      <c r="B488" s="134"/>
      <c r="C488" s="134"/>
      <c r="D488" s="134"/>
      <c r="E488" s="135"/>
      <c r="F488" s="5"/>
      <c r="G488" s="5"/>
      <c r="H488" s="5"/>
      <c r="I488" s="34">
        <f>250-243</f>
        <v>7</v>
      </c>
    </row>
    <row r="489" spans="1:9" ht="39.75" customHeight="1">
      <c r="A489" s="147" t="s">
        <v>627</v>
      </c>
      <c r="B489" s="134"/>
      <c r="C489" s="134"/>
      <c r="D489" s="134"/>
      <c r="E489" s="135"/>
      <c r="F489" s="5"/>
      <c r="G489" s="5"/>
      <c r="H489" s="5"/>
      <c r="I489" s="34">
        <f>120-91.929</f>
        <v>28.070999999999998</v>
      </c>
    </row>
    <row r="490" spans="1:9" ht="39.75" customHeight="1" hidden="1">
      <c r="A490" s="147" t="s">
        <v>211</v>
      </c>
      <c r="B490" s="134"/>
      <c r="C490" s="134"/>
      <c r="D490" s="134"/>
      <c r="E490" s="135"/>
      <c r="F490" s="5"/>
      <c r="G490" s="5"/>
      <c r="H490" s="5"/>
      <c r="I490" s="107">
        <f>234.3+65.3</f>
        <v>299.6</v>
      </c>
    </row>
    <row r="491" spans="1:9" ht="39.75" customHeight="1">
      <c r="A491" s="147" t="s">
        <v>393</v>
      </c>
      <c r="B491" s="134"/>
      <c r="C491" s="134"/>
      <c r="D491" s="134"/>
      <c r="E491" s="135"/>
      <c r="F491" s="5"/>
      <c r="G491" s="5"/>
      <c r="H491" s="5"/>
      <c r="I491" s="34">
        <f>350+175</f>
        <v>525</v>
      </c>
    </row>
    <row r="492" spans="1:9" ht="39.75" customHeight="1">
      <c r="A492" s="147" t="s">
        <v>394</v>
      </c>
      <c r="B492" s="134"/>
      <c r="C492" s="134"/>
      <c r="D492" s="134"/>
      <c r="E492" s="135"/>
      <c r="F492" s="5"/>
      <c r="G492" s="5"/>
      <c r="H492" s="5"/>
      <c r="I492" s="107">
        <f>800-120</f>
        <v>680</v>
      </c>
    </row>
    <row r="493" spans="1:9" ht="39.75" customHeight="1">
      <c r="A493" s="147" t="s">
        <v>397</v>
      </c>
      <c r="B493" s="134"/>
      <c r="C493" s="134"/>
      <c r="D493" s="134"/>
      <c r="E493" s="135"/>
      <c r="F493" s="5"/>
      <c r="G493" s="5"/>
      <c r="H493" s="5"/>
      <c r="I493" s="107">
        <f>550-55</f>
        <v>495</v>
      </c>
    </row>
    <row r="494" spans="1:9" ht="39.75" customHeight="1">
      <c r="A494" s="147" t="s">
        <v>398</v>
      </c>
      <c r="B494" s="134"/>
      <c r="C494" s="134"/>
      <c r="D494" s="134"/>
      <c r="E494" s="135"/>
      <c r="F494" s="5"/>
      <c r="G494" s="5"/>
      <c r="H494" s="5"/>
      <c r="I494" s="107">
        <f>10</f>
        <v>10</v>
      </c>
    </row>
    <row r="495" spans="1:9" ht="39.75" customHeight="1">
      <c r="A495" s="147" t="s">
        <v>399</v>
      </c>
      <c r="B495" s="134"/>
      <c r="C495" s="134"/>
      <c r="D495" s="134"/>
      <c r="E495" s="135"/>
      <c r="F495" s="5"/>
      <c r="G495" s="5"/>
      <c r="H495" s="5"/>
      <c r="I495" s="107">
        <v>31.1</v>
      </c>
    </row>
    <row r="496" spans="1:9" ht="39.75" customHeight="1">
      <c r="A496" s="147" t="s">
        <v>400</v>
      </c>
      <c r="B496" s="134"/>
      <c r="C496" s="134"/>
      <c r="D496" s="134"/>
      <c r="E496" s="135"/>
      <c r="F496" s="5"/>
      <c r="G496" s="5"/>
      <c r="H496" s="5"/>
      <c r="I496" s="107">
        <f>1152-41.1</f>
        <v>1110.9</v>
      </c>
    </row>
    <row r="497" spans="1:9" ht="25.5" customHeight="1" hidden="1">
      <c r="A497" s="12" t="s">
        <v>969</v>
      </c>
      <c r="B497" s="18">
        <v>3110</v>
      </c>
      <c r="C497" s="130" t="s">
        <v>970</v>
      </c>
      <c r="D497" s="130"/>
      <c r="E497" s="5"/>
      <c r="F497" s="5"/>
      <c r="G497" s="5"/>
      <c r="H497" s="5"/>
      <c r="I497" s="5"/>
    </row>
    <row r="498" spans="1:9" ht="45" hidden="1">
      <c r="A498" s="14" t="s">
        <v>971</v>
      </c>
      <c r="B498" s="16">
        <v>3111</v>
      </c>
      <c r="C498" s="14" t="s">
        <v>972</v>
      </c>
      <c r="D498" s="15" t="s">
        <v>739</v>
      </c>
      <c r="E498" s="5"/>
      <c r="F498" s="5"/>
      <c r="G498" s="5"/>
      <c r="H498" s="5"/>
      <c r="I498" s="5"/>
    </row>
    <row r="499" spans="1:9" ht="15.75" hidden="1">
      <c r="A499" s="14" t="s">
        <v>740</v>
      </c>
      <c r="B499" s="16">
        <v>3120</v>
      </c>
      <c r="C499" s="153" t="s">
        <v>741</v>
      </c>
      <c r="D499" s="153"/>
      <c r="E499" s="5"/>
      <c r="F499" s="5"/>
      <c r="G499" s="5"/>
      <c r="H499" s="5"/>
      <c r="I499" s="5"/>
    </row>
    <row r="500" spans="1:9" ht="45" hidden="1">
      <c r="A500" s="14" t="s">
        <v>742</v>
      </c>
      <c r="B500" s="16">
        <v>3121</v>
      </c>
      <c r="C500" s="14" t="s">
        <v>743</v>
      </c>
      <c r="D500" s="17" t="s">
        <v>1082</v>
      </c>
      <c r="E500" s="5"/>
      <c r="F500" s="5"/>
      <c r="G500" s="5"/>
      <c r="H500" s="5"/>
      <c r="I500" s="5"/>
    </row>
    <row r="501" spans="1:9" ht="15.75" hidden="1">
      <c r="A501" s="14"/>
      <c r="B501" s="16"/>
      <c r="C501" s="14"/>
      <c r="D501" s="15"/>
      <c r="E501" s="5"/>
      <c r="F501" s="5"/>
      <c r="G501" s="5"/>
      <c r="H501" s="5"/>
      <c r="I501" s="5"/>
    </row>
    <row r="502" spans="1:9" ht="45" hidden="1">
      <c r="A502" s="14" t="s">
        <v>1083</v>
      </c>
      <c r="B502" s="16">
        <v>3122</v>
      </c>
      <c r="C502" s="14" t="s">
        <v>1084</v>
      </c>
      <c r="D502" s="15" t="s">
        <v>1085</v>
      </c>
      <c r="E502" s="5"/>
      <c r="F502" s="5"/>
      <c r="G502" s="5"/>
      <c r="H502" s="5"/>
      <c r="I502" s="5"/>
    </row>
    <row r="503" spans="1:9" ht="30" hidden="1">
      <c r="A503" s="14" t="s">
        <v>1086</v>
      </c>
      <c r="B503" s="16">
        <v>3123</v>
      </c>
      <c r="C503" s="14" t="s">
        <v>1087</v>
      </c>
      <c r="D503" s="15" t="s">
        <v>1088</v>
      </c>
      <c r="E503" s="5"/>
      <c r="F503" s="5"/>
      <c r="G503" s="5"/>
      <c r="H503" s="5"/>
      <c r="I503" s="5"/>
    </row>
    <row r="504" spans="1:9" ht="15.75" hidden="1">
      <c r="A504" s="14" t="s">
        <v>1089</v>
      </c>
      <c r="B504" s="16">
        <v>3130</v>
      </c>
      <c r="C504" s="153" t="s">
        <v>1</v>
      </c>
      <c r="D504" s="153"/>
      <c r="E504" s="5"/>
      <c r="F504" s="5"/>
      <c r="G504" s="5"/>
      <c r="H504" s="5"/>
      <c r="I504" s="5"/>
    </row>
    <row r="505" spans="1:9" ht="60" hidden="1">
      <c r="A505" s="14" t="s">
        <v>2</v>
      </c>
      <c r="B505" s="16">
        <v>3131</v>
      </c>
      <c r="C505" s="14" t="s">
        <v>3</v>
      </c>
      <c r="D505" s="15" t="s">
        <v>338</v>
      </c>
      <c r="E505" s="5"/>
      <c r="F505" s="5"/>
      <c r="G505" s="5"/>
      <c r="H505" s="5"/>
      <c r="I505" s="5"/>
    </row>
    <row r="506" spans="1:9" ht="30" hidden="1">
      <c r="A506" s="14" t="s">
        <v>1062</v>
      </c>
      <c r="B506" s="16">
        <v>3133</v>
      </c>
      <c r="C506" s="14" t="s">
        <v>1063</v>
      </c>
      <c r="D506" s="17" t="s">
        <v>1064</v>
      </c>
      <c r="E506" s="5"/>
      <c r="F506" s="5"/>
      <c r="G506" s="5"/>
      <c r="H506" s="5"/>
      <c r="I506" s="34">
        <v>700</v>
      </c>
    </row>
    <row r="507" spans="1:9" ht="22.5" customHeight="1" hidden="1">
      <c r="A507" s="144" t="s">
        <v>889</v>
      </c>
      <c r="B507" s="144"/>
      <c r="C507" s="144"/>
      <c r="D507" s="144"/>
      <c r="E507" s="144"/>
      <c r="F507" s="53"/>
      <c r="G507" s="53"/>
      <c r="H507" s="53"/>
      <c r="I507" s="34">
        <v>700</v>
      </c>
    </row>
    <row r="508" spans="1:9" ht="90" hidden="1">
      <c r="A508" s="14" t="s">
        <v>1065</v>
      </c>
      <c r="B508" s="16">
        <v>3140</v>
      </c>
      <c r="C508" s="14" t="s">
        <v>1066</v>
      </c>
      <c r="D508" s="15" t="s">
        <v>1067</v>
      </c>
      <c r="E508" s="5"/>
      <c r="F508" s="5"/>
      <c r="G508" s="5"/>
      <c r="H508" s="5"/>
      <c r="I508" s="5"/>
    </row>
    <row r="509" spans="1:9" ht="60" hidden="1">
      <c r="A509" s="14" t="s">
        <v>1068</v>
      </c>
      <c r="B509" s="16">
        <v>3182</v>
      </c>
      <c r="C509" s="14" t="s">
        <v>981</v>
      </c>
      <c r="D509" s="15" t="s">
        <v>339</v>
      </c>
      <c r="E509" s="5"/>
      <c r="F509" s="5"/>
      <c r="G509" s="5"/>
      <c r="H509" s="5"/>
      <c r="I509" s="5"/>
    </row>
    <row r="510" spans="1:9" ht="45" hidden="1">
      <c r="A510" s="14" t="s">
        <v>340</v>
      </c>
      <c r="B510" s="16">
        <v>3190</v>
      </c>
      <c r="C510" s="14" t="s">
        <v>651</v>
      </c>
      <c r="D510" s="15" t="s">
        <v>652</v>
      </c>
      <c r="E510" s="5"/>
      <c r="F510" s="5"/>
      <c r="G510" s="5"/>
      <c r="H510" s="5"/>
      <c r="I510" s="5"/>
    </row>
    <row r="511" spans="1:9" ht="39" customHeight="1" hidden="1">
      <c r="A511" s="144" t="s">
        <v>764</v>
      </c>
      <c r="B511" s="144"/>
      <c r="C511" s="144"/>
      <c r="D511" s="144"/>
      <c r="E511" s="144"/>
      <c r="F511" s="37"/>
      <c r="G511" s="37"/>
      <c r="H511" s="37"/>
      <c r="I511" s="34"/>
    </row>
    <row r="512" spans="1:9" ht="31.5" customHeight="1" hidden="1">
      <c r="A512" s="144" t="s">
        <v>773</v>
      </c>
      <c r="B512" s="144"/>
      <c r="C512" s="144"/>
      <c r="D512" s="144"/>
      <c r="E512" s="144"/>
      <c r="F512" s="37"/>
      <c r="G512" s="37"/>
      <c r="H512" s="37"/>
      <c r="I512" s="34"/>
    </row>
    <row r="513" spans="1:9" ht="19.5" customHeight="1" hidden="1">
      <c r="A513" s="144" t="s">
        <v>596</v>
      </c>
      <c r="B513" s="144"/>
      <c r="C513" s="144"/>
      <c r="D513" s="144"/>
      <c r="E513" s="144"/>
      <c r="F513" s="37"/>
      <c r="G513" s="37"/>
      <c r="H513" s="37"/>
      <c r="I513" s="34"/>
    </row>
    <row r="514" spans="1:9" ht="15.75" customHeight="1" hidden="1">
      <c r="A514" s="144" t="s">
        <v>750</v>
      </c>
      <c r="B514" s="144"/>
      <c r="C514" s="144"/>
      <c r="D514" s="144"/>
      <c r="E514" s="144"/>
      <c r="F514" s="37"/>
      <c r="G514" s="37"/>
      <c r="H514" s="37"/>
      <c r="I514" s="34"/>
    </row>
    <row r="515" spans="1:9" ht="33.75" customHeight="1" hidden="1">
      <c r="A515" s="144" t="s">
        <v>625</v>
      </c>
      <c r="B515" s="144"/>
      <c r="C515" s="144"/>
      <c r="D515" s="144"/>
      <c r="E515" s="144"/>
      <c r="F515" s="37"/>
      <c r="G515" s="37"/>
      <c r="H515" s="37"/>
      <c r="I515" s="34"/>
    </row>
    <row r="516" spans="1:9" ht="31.5" customHeight="1" hidden="1">
      <c r="A516" s="144" t="s">
        <v>626</v>
      </c>
      <c r="B516" s="144"/>
      <c r="C516" s="144"/>
      <c r="D516" s="144"/>
      <c r="E516" s="144"/>
      <c r="F516" s="37"/>
      <c r="G516" s="37"/>
      <c r="H516" s="37"/>
      <c r="I516" s="34"/>
    </row>
    <row r="517" spans="1:9" ht="33" customHeight="1" hidden="1">
      <c r="A517" s="144" t="s">
        <v>627</v>
      </c>
      <c r="B517" s="144"/>
      <c r="C517" s="144"/>
      <c r="D517" s="144"/>
      <c r="E517" s="144"/>
      <c r="F517" s="37"/>
      <c r="G517" s="37"/>
      <c r="H517" s="37"/>
      <c r="I517" s="34"/>
    </row>
    <row r="518" spans="1:9" ht="32.25" customHeight="1" hidden="1">
      <c r="A518" s="144" t="s">
        <v>392</v>
      </c>
      <c r="B518" s="144"/>
      <c r="C518" s="144"/>
      <c r="D518" s="144"/>
      <c r="E518" s="144"/>
      <c r="F518" s="37"/>
      <c r="G518" s="37"/>
      <c r="H518" s="37"/>
      <c r="I518" s="34"/>
    </row>
    <row r="519" spans="1:9" ht="15.75" hidden="1">
      <c r="A519" s="144" t="s">
        <v>393</v>
      </c>
      <c r="B519" s="144"/>
      <c r="C519" s="144"/>
      <c r="D519" s="144"/>
      <c r="E519" s="144"/>
      <c r="F519" s="37"/>
      <c r="G519" s="37"/>
      <c r="H519" s="37"/>
      <c r="I519" s="34"/>
    </row>
    <row r="520" spans="1:9" ht="15" customHeight="1" hidden="1">
      <c r="A520" s="144" t="s">
        <v>394</v>
      </c>
      <c r="B520" s="144"/>
      <c r="C520" s="144"/>
      <c r="D520" s="144"/>
      <c r="E520" s="144"/>
      <c r="F520" s="37"/>
      <c r="G520" s="37"/>
      <c r="H520" s="37"/>
      <c r="I520" s="34"/>
    </row>
    <row r="521" spans="1:9" ht="15.75" hidden="1">
      <c r="A521" s="144" t="s">
        <v>210</v>
      </c>
      <c r="B521" s="144"/>
      <c r="C521" s="144"/>
      <c r="D521" s="144"/>
      <c r="E521" s="144"/>
      <c r="F521" s="37"/>
      <c r="G521" s="37"/>
      <c r="H521" s="37"/>
      <c r="I521" s="34"/>
    </row>
    <row r="522" spans="1:9" ht="30" customHeight="1" hidden="1">
      <c r="A522" s="144" t="s">
        <v>211</v>
      </c>
      <c r="B522" s="144"/>
      <c r="C522" s="144"/>
      <c r="D522" s="144"/>
      <c r="E522" s="144"/>
      <c r="F522" s="37"/>
      <c r="G522" s="37"/>
      <c r="H522" s="37"/>
      <c r="I522" s="34"/>
    </row>
    <row r="523" spans="1:9" ht="30.75" customHeight="1" hidden="1">
      <c r="A523" s="144" t="s">
        <v>212</v>
      </c>
      <c r="B523" s="144"/>
      <c r="C523" s="144"/>
      <c r="D523" s="144"/>
      <c r="E523" s="144"/>
      <c r="F523" s="37"/>
      <c r="G523" s="37"/>
      <c r="H523" s="37"/>
      <c r="I523" s="34"/>
    </row>
    <row r="524" spans="1:9" ht="45" hidden="1">
      <c r="A524" s="14" t="s">
        <v>768</v>
      </c>
      <c r="B524" s="16">
        <v>3200</v>
      </c>
      <c r="C524" s="14" t="s">
        <v>651</v>
      </c>
      <c r="D524" s="17" t="s">
        <v>652</v>
      </c>
      <c r="E524" s="15" t="s">
        <v>756</v>
      </c>
      <c r="F524" s="5"/>
      <c r="G524" s="5"/>
      <c r="H524" s="5"/>
      <c r="I524" s="34"/>
    </row>
    <row r="525" spans="1:9" ht="54" customHeight="1" hidden="1">
      <c r="A525" s="144" t="s">
        <v>638</v>
      </c>
      <c r="B525" s="144"/>
      <c r="C525" s="144"/>
      <c r="D525" s="144"/>
      <c r="E525" s="144"/>
      <c r="F525" s="53"/>
      <c r="G525" s="53"/>
      <c r="H525" s="53"/>
      <c r="I525" s="34"/>
    </row>
    <row r="526" spans="1:9" ht="15.75" hidden="1">
      <c r="A526" s="12" t="s">
        <v>131</v>
      </c>
      <c r="B526" s="18">
        <v>3240</v>
      </c>
      <c r="C526" s="170" t="s">
        <v>278</v>
      </c>
      <c r="D526" s="170" t="s">
        <v>278</v>
      </c>
      <c r="E526" s="5"/>
      <c r="F526" s="5"/>
      <c r="G526" s="5"/>
      <c r="H526" s="5"/>
      <c r="I526" s="50"/>
    </row>
    <row r="527" spans="1:9" ht="45">
      <c r="A527" s="14" t="s">
        <v>769</v>
      </c>
      <c r="B527" s="16">
        <v>3241</v>
      </c>
      <c r="C527" s="14" t="s">
        <v>653</v>
      </c>
      <c r="D527" s="17" t="s">
        <v>128</v>
      </c>
      <c r="E527" s="15" t="s">
        <v>756</v>
      </c>
      <c r="F527" s="5"/>
      <c r="G527" s="5"/>
      <c r="H527" s="5"/>
      <c r="I527" s="34">
        <f>969+80</f>
        <v>1049</v>
      </c>
    </row>
    <row r="528" spans="1:9" ht="37.5" customHeight="1" hidden="1">
      <c r="A528" s="193" t="s">
        <v>90</v>
      </c>
      <c r="B528" s="193"/>
      <c r="C528" s="193"/>
      <c r="D528" s="193"/>
      <c r="E528" s="193"/>
      <c r="F528" s="53"/>
      <c r="G528" s="53"/>
      <c r="H528" s="53"/>
      <c r="I528" s="34">
        <f>60-8</f>
        <v>52</v>
      </c>
    </row>
    <row r="529" spans="1:9" ht="37.5" customHeight="1" hidden="1">
      <c r="A529" s="193" t="s">
        <v>927</v>
      </c>
      <c r="B529" s="193"/>
      <c r="C529" s="193"/>
      <c r="D529" s="193"/>
      <c r="E529" s="193"/>
      <c r="F529" s="53"/>
      <c r="G529" s="53"/>
      <c r="H529" s="53"/>
      <c r="I529" s="34">
        <v>8</v>
      </c>
    </row>
    <row r="530" spans="1:9" ht="32.25" customHeight="1" hidden="1">
      <c r="A530" s="189" t="s">
        <v>96</v>
      </c>
      <c r="B530" s="161"/>
      <c r="C530" s="161"/>
      <c r="D530" s="161"/>
      <c r="E530" s="162"/>
      <c r="F530" s="5"/>
      <c r="G530" s="5"/>
      <c r="H530" s="5"/>
      <c r="I530" s="34">
        <v>80</v>
      </c>
    </row>
    <row r="531" spans="1:9" ht="56.25" customHeight="1">
      <c r="A531" s="197" t="s">
        <v>745</v>
      </c>
      <c r="B531" s="198"/>
      <c r="C531" s="198"/>
      <c r="D531" s="198"/>
      <c r="E531" s="199"/>
      <c r="F531" s="5"/>
      <c r="G531" s="5"/>
      <c r="H531" s="5"/>
      <c r="I531" s="34">
        <f>643-1.026</f>
        <v>641.974</v>
      </c>
    </row>
    <row r="532" spans="1:9" ht="69" customHeight="1">
      <c r="A532" s="197" t="s">
        <v>401</v>
      </c>
      <c r="B532" s="200"/>
      <c r="C532" s="200"/>
      <c r="D532" s="200"/>
      <c r="E532" s="201"/>
      <c r="F532" s="5"/>
      <c r="G532" s="5"/>
      <c r="H532" s="5"/>
      <c r="I532" s="34">
        <v>1.026</v>
      </c>
    </row>
    <row r="533" spans="1:9" ht="30" hidden="1">
      <c r="A533" s="14" t="s">
        <v>129</v>
      </c>
      <c r="B533" s="16">
        <v>3242</v>
      </c>
      <c r="C533" s="14" t="s">
        <v>653</v>
      </c>
      <c r="D533" s="17" t="s">
        <v>130</v>
      </c>
      <c r="E533" s="15"/>
      <c r="F533" s="5"/>
      <c r="G533" s="5"/>
      <c r="H533" s="5"/>
      <c r="I533" s="34">
        <v>969</v>
      </c>
    </row>
    <row r="534" spans="1:9" ht="15.75" hidden="1">
      <c r="A534" s="14"/>
      <c r="B534" s="16"/>
      <c r="C534" s="153"/>
      <c r="D534" s="153"/>
      <c r="E534" s="5"/>
      <c r="F534" s="5"/>
      <c r="G534" s="5"/>
      <c r="H534" s="5"/>
      <c r="I534" s="5"/>
    </row>
    <row r="535" spans="1:9" ht="15.75" hidden="1">
      <c r="A535" s="12" t="s">
        <v>654</v>
      </c>
      <c r="B535" s="18">
        <v>7300</v>
      </c>
      <c r="C535" s="170" t="s">
        <v>580</v>
      </c>
      <c r="D535" s="170"/>
      <c r="E535" s="5"/>
      <c r="F535" s="5"/>
      <c r="G535" s="5"/>
      <c r="H535" s="5"/>
      <c r="I535" s="5"/>
    </row>
    <row r="536" spans="1:9" ht="30" hidden="1">
      <c r="A536" s="14" t="s">
        <v>655</v>
      </c>
      <c r="B536" s="16">
        <v>7323</v>
      </c>
      <c r="C536" s="14" t="s">
        <v>635</v>
      </c>
      <c r="D536" s="17" t="s">
        <v>656</v>
      </c>
      <c r="E536" s="5"/>
      <c r="F536" s="5"/>
      <c r="G536" s="5"/>
      <c r="H536" s="5"/>
      <c r="I536" s="5"/>
    </row>
    <row r="537" spans="1:9" ht="42" customHeight="1" hidden="1">
      <c r="A537" s="144" t="s">
        <v>89</v>
      </c>
      <c r="B537" s="144"/>
      <c r="C537" s="144"/>
      <c r="D537" s="144"/>
      <c r="E537" s="144"/>
      <c r="F537" s="53"/>
      <c r="G537" s="53"/>
      <c r="H537" s="53"/>
      <c r="I537" s="55"/>
    </row>
    <row r="538" spans="1:9" ht="61.5" customHeight="1" hidden="1">
      <c r="A538" s="194" t="s">
        <v>91</v>
      </c>
      <c r="B538" s="194"/>
      <c r="C538" s="194"/>
      <c r="D538" s="194"/>
      <c r="E538" s="194"/>
      <c r="F538" s="51"/>
      <c r="G538" s="51"/>
      <c r="H538" s="51"/>
      <c r="I538" s="55">
        <v>0</v>
      </c>
    </row>
    <row r="539" spans="1:9" ht="61.5" customHeight="1" hidden="1">
      <c r="A539" s="194" t="s">
        <v>745</v>
      </c>
      <c r="B539" s="194"/>
      <c r="C539" s="194"/>
      <c r="D539" s="194"/>
      <c r="E539" s="194"/>
      <c r="F539" s="51"/>
      <c r="G539" s="51"/>
      <c r="H539" s="51"/>
      <c r="I539" s="55">
        <v>643</v>
      </c>
    </row>
    <row r="540" spans="1:9" ht="60" customHeight="1" hidden="1">
      <c r="A540" s="194" t="s">
        <v>126</v>
      </c>
      <c r="B540" s="194"/>
      <c r="C540" s="194"/>
      <c r="D540" s="194"/>
      <c r="E540" s="194"/>
      <c r="F540" s="51"/>
      <c r="G540" s="51"/>
      <c r="H540" s="51"/>
      <c r="I540" s="55"/>
    </row>
    <row r="541" spans="1:9" ht="38.25" customHeight="1" hidden="1">
      <c r="A541" s="144" t="s">
        <v>90</v>
      </c>
      <c r="B541" s="144"/>
      <c r="C541" s="144"/>
      <c r="D541" s="144"/>
      <c r="E541" s="144"/>
      <c r="F541" s="53"/>
      <c r="G541" s="53"/>
      <c r="H541" s="53"/>
      <c r="I541" s="55"/>
    </row>
    <row r="542" spans="1:9" ht="69" customHeight="1" hidden="1">
      <c r="A542" s="14" t="s">
        <v>99</v>
      </c>
      <c r="B542" s="14" t="s">
        <v>100</v>
      </c>
      <c r="C542" s="87"/>
      <c r="D542" s="71" t="s">
        <v>748</v>
      </c>
      <c r="E542" s="15" t="s">
        <v>756</v>
      </c>
      <c r="F542" s="53"/>
      <c r="G542" s="53"/>
      <c r="H542" s="53"/>
      <c r="I542" s="34">
        <f>I543+I544</f>
        <v>520</v>
      </c>
    </row>
    <row r="543" spans="1:9" ht="38.25" customHeight="1" hidden="1">
      <c r="A543" s="147" t="s">
        <v>497</v>
      </c>
      <c r="B543" s="134"/>
      <c r="C543" s="134"/>
      <c r="D543" s="134"/>
      <c r="E543" s="135"/>
      <c r="F543" s="53"/>
      <c r="G543" s="53"/>
      <c r="H543" s="53"/>
      <c r="I543" s="55">
        <f>515.8-515.8</f>
        <v>0</v>
      </c>
    </row>
    <row r="544" spans="1:9" ht="38.25" customHeight="1" hidden="1">
      <c r="A544" s="147" t="s">
        <v>505</v>
      </c>
      <c r="B544" s="134"/>
      <c r="C544" s="134"/>
      <c r="D544" s="134"/>
      <c r="E544" s="135"/>
      <c r="F544" s="53"/>
      <c r="G544" s="53"/>
      <c r="H544" s="53"/>
      <c r="I544" s="55">
        <f>490+30</f>
        <v>520</v>
      </c>
    </row>
    <row r="545" spans="1:9" ht="38.25" customHeight="1" hidden="1">
      <c r="A545" s="147" t="s">
        <v>961</v>
      </c>
      <c r="B545" s="134"/>
      <c r="C545" s="134"/>
      <c r="D545" s="134"/>
      <c r="E545" s="135"/>
      <c r="F545" s="53"/>
      <c r="G545" s="53"/>
      <c r="H545" s="53"/>
      <c r="I545" s="55">
        <v>36</v>
      </c>
    </row>
    <row r="546" spans="1:9" ht="28.5" customHeight="1" hidden="1">
      <c r="A546" s="147" t="s">
        <v>962</v>
      </c>
      <c r="B546" s="134"/>
      <c r="C546" s="134"/>
      <c r="D546" s="134"/>
      <c r="E546" s="135"/>
      <c r="F546" s="51"/>
      <c r="G546" s="51"/>
      <c r="H546" s="51"/>
      <c r="I546" s="34">
        <v>36</v>
      </c>
    </row>
    <row r="547" spans="1:9" ht="30.75" customHeight="1" hidden="1">
      <c r="A547" s="147" t="s">
        <v>963</v>
      </c>
      <c r="B547" s="134"/>
      <c r="C547" s="134"/>
      <c r="D547" s="134"/>
      <c r="E547" s="135"/>
      <c r="F547" s="51"/>
      <c r="G547" s="51"/>
      <c r="H547" s="51"/>
      <c r="I547" s="34">
        <v>36</v>
      </c>
    </row>
    <row r="548" spans="1:9" ht="15.75" customHeight="1" hidden="1">
      <c r="A548" s="12" t="s">
        <v>657</v>
      </c>
      <c r="B548" s="155" t="s">
        <v>658</v>
      </c>
      <c r="C548" s="155"/>
      <c r="D548" s="155"/>
      <c r="E548" s="5"/>
      <c r="F548" s="5"/>
      <c r="G548" s="5"/>
      <c r="H548" s="5"/>
      <c r="I548" s="40"/>
    </row>
    <row r="549" spans="1:9" ht="15.75" customHeight="1" hidden="1">
      <c r="A549" s="13" t="s">
        <v>659</v>
      </c>
      <c r="B549" s="154" t="s">
        <v>658</v>
      </c>
      <c r="C549" s="154"/>
      <c r="D549" s="154"/>
      <c r="E549" s="5"/>
      <c r="F549" s="5"/>
      <c r="G549" s="5"/>
      <c r="H549" s="5"/>
      <c r="I549" s="41"/>
    </row>
    <row r="550" spans="1:9" s="36" customFormat="1" ht="15" hidden="1">
      <c r="A550" s="13" t="s">
        <v>660</v>
      </c>
      <c r="B550" s="38" t="s">
        <v>274</v>
      </c>
      <c r="C550" s="154" t="s">
        <v>275</v>
      </c>
      <c r="D550" s="154"/>
      <c r="E550" s="42"/>
      <c r="F550" s="42"/>
      <c r="G550" s="42"/>
      <c r="H550" s="42"/>
      <c r="I550" s="125"/>
    </row>
    <row r="551" spans="1:9" ht="15.75" hidden="1">
      <c r="A551" s="14" t="s">
        <v>661</v>
      </c>
      <c r="B551" s="16" t="s">
        <v>662</v>
      </c>
      <c r="C551" s="153" t="s">
        <v>970</v>
      </c>
      <c r="D551" s="153"/>
      <c r="E551" s="5"/>
      <c r="F551" s="5"/>
      <c r="G551" s="5"/>
      <c r="H551" s="5"/>
      <c r="I551" s="121"/>
    </row>
    <row r="552" spans="1:9" ht="45" hidden="1">
      <c r="A552" s="14" t="s">
        <v>663</v>
      </c>
      <c r="B552" s="16" t="s">
        <v>664</v>
      </c>
      <c r="C552" s="14" t="s">
        <v>972</v>
      </c>
      <c r="D552" s="17" t="s">
        <v>418</v>
      </c>
      <c r="E552" s="15" t="s">
        <v>756</v>
      </c>
      <c r="F552" s="5"/>
      <c r="G552" s="5"/>
      <c r="H552" s="5"/>
      <c r="I552" s="34">
        <v>259.80699999999996</v>
      </c>
    </row>
    <row r="553" spans="1:9" ht="33.75" customHeight="1" hidden="1">
      <c r="A553" s="144" t="s">
        <v>92</v>
      </c>
      <c r="B553" s="144"/>
      <c r="C553" s="144"/>
      <c r="D553" s="144"/>
      <c r="E553" s="144"/>
      <c r="F553" s="37"/>
      <c r="G553" s="37"/>
      <c r="H553" s="37"/>
      <c r="I553" s="55">
        <f>75-0.6</f>
        <v>74.4</v>
      </c>
    </row>
    <row r="554" spans="1:9" ht="30" customHeight="1" hidden="1">
      <c r="A554" s="147" t="s">
        <v>995</v>
      </c>
      <c r="B554" s="134"/>
      <c r="C554" s="134"/>
      <c r="D554" s="134"/>
      <c r="E554" s="135"/>
      <c r="F554" s="37" t="s">
        <v>895</v>
      </c>
      <c r="G554" s="37"/>
      <c r="H554" s="37"/>
      <c r="I554" s="55">
        <f>49.3+0.6</f>
        <v>49.9</v>
      </c>
    </row>
    <row r="555" spans="1:9" ht="30" customHeight="1" hidden="1">
      <c r="A555" s="147" t="s">
        <v>490</v>
      </c>
      <c r="B555" s="134"/>
      <c r="C555" s="134"/>
      <c r="D555" s="134"/>
      <c r="E555" s="135"/>
      <c r="F555" s="37"/>
      <c r="G555" s="37"/>
      <c r="H555" s="37"/>
      <c r="I555" s="55">
        <f>40-2.8</f>
        <v>37.2</v>
      </c>
    </row>
    <row r="556" spans="1:9" ht="28.5" customHeight="1" hidden="1">
      <c r="A556" s="144" t="s">
        <v>913</v>
      </c>
      <c r="B556" s="144"/>
      <c r="C556" s="144"/>
      <c r="D556" s="144"/>
      <c r="E556" s="144"/>
      <c r="F556" s="37"/>
      <c r="G556" s="37"/>
      <c r="H556" s="37"/>
      <c r="I556" s="55">
        <f>45-2.3</f>
        <v>42.7</v>
      </c>
    </row>
    <row r="557" spans="1:9" ht="28.5" customHeight="1" hidden="1">
      <c r="A557" s="144" t="s">
        <v>127</v>
      </c>
      <c r="B557" s="144"/>
      <c r="C557" s="144"/>
      <c r="D557" s="144"/>
      <c r="E557" s="144"/>
      <c r="F557" s="37"/>
      <c r="G557" s="37"/>
      <c r="H557" s="37"/>
      <c r="I557" s="55">
        <f>45-1.393</f>
        <v>43.607</v>
      </c>
    </row>
    <row r="558" spans="1:9" ht="15.75">
      <c r="A558" s="12" t="s">
        <v>539</v>
      </c>
      <c r="B558" s="155" t="s">
        <v>540</v>
      </c>
      <c r="C558" s="155"/>
      <c r="D558" s="155"/>
      <c r="E558" s="5"/>
      <c r="F558" s="5"/>
      <c r="G558" s="5"/>
      <c r="H558" s="5"/>
      <c r="I558" s="40"/>
    </row>
    <row r="559" spans="1:9" ht="15.75">
      <c r="A559" s="13" t="s">
        <v>541</v>
      </c>
      <c r="B559" s="154" t="s">
        <v>540</v>
      </c>
      <c r="C559" s="154"/>
      <c r="D559" s="154"/>
      <c r="E559" s="5"/>
      <c r="F559" s="5"/>
      <c r="G559" s="5"/>
      <c r="H559" s="5"/>
      <c r="I559" s="41"/>
    </row>
    <row r="560" spans="1:9" ht="15.75" hidden="1">
      <c r="A560" s="12" t="s">
        <v>542</v>
      </c>
      <c r="B560" s="18">
        <v>1000</v>
      </c>
      <c r="C560" s="18"/>
      <c r="D560" s="18" t="s">
        <v>516</v>
      </c>
      <c r="E560" s="5"/>
      <c r="F560" s="5"/>
      <c r="G560" s="5"/>
      <c r="H560" s="5"/>
      <c r="I560" s="56"/>
    </row>
    <row r="561" spans="1:9" ht="45">
      <c r="A561" s="14" t="s">
        <v>543</v>
      </c>
      <c r="B561" s="16">
        <v>1120</v>
      </c>
      <c r="C561" s="14" t="s">
        <v>873</v>
      </c>
      <c r="D561" s="17" t="s">
        <v>863</v>
      </c>
      <c r="E561" s="15" t="s">
        <v>756</v>
      </c>
      <c r="F561" s="5"/>
      <c r="G561" s="5"/>
      <c r="H561" s="5"/>
      <c r="I561" s="34">
        <v>3410</v>
      </c>
    </row>
    <row r="562" spans="1:9" ht="27" customHeight="1" hidden="1">
      <c r="A562" s="190" t="s">
        <v>896</v>
      </c>
      <c r="B562" s="191"/>
      <c r="C562" s="191"/>
      <c r="D562" s="191"/>
      <c r="E562" s="192"/>
      <c r="F562" s="88"/>
      <c r="G562" s="87"/>
      <c r="H562" s="87"/>
      <c r="I562" s="55">
        <v>200</v>
      </c>
    </row>
    <row r="563" spans="1:9" ht="32.25" customHeight="1" hidden="1">
      <c r="A563" s="147" t="s">
        <v>897</v>
      </c>
      <c r="B563" s="134"/>
      <c r="C563" s="134"/>
      <c r="D563" s="134"/>
      <c r="E563" s="135"/>
      <c r="F563" s="88"/>
      <c r="G563" s="87"/>
      <c r="H563" s="87"/>
      <c r="I563" s="55">
        <v>336</v>
      </c>
    </row>
    <row r="564" spans="1:9" ht="29.25" customHeight="1" hidden="1">
      <c r="A564" s="147" t="s">
        <v>419</v>
      </c>
      <c r="B564" s="134"/>
      <c r="C564" s="134"/>
      <c r="D564" s="134"/>
      <c r="E564" s="135"/>
      <c r="F564" s="88"/>
      <c r="G564" s="87"/>
      <c r="H564" s="87"/>
      <c r="I564" s="55">
        <v>20</v>
      </c>
    </row>
    <row r="565" spans="1:9" ht="31.5" customHeight="1" hidden="1">
      <c r="A565" s="147" t="s">
        <v>420</v>
      </c>
      <c r="B565" s="134"/>
      <c r="C565" s="134"/>
      <c r="D565" s="134"/>
      <c r="E565" s="135"/>
      <c r="F565" s="88"/>
      <c r="G565" s="87"/>
      <c r="H565" s="87"/>
      <c r="I565" s="55">
        <v>285</v>
      </c>
    </row>
    <row r="566" spans="1:9" ht="34.5" customHeight="1" hidden="1">
      <c r="A566" s="147" t="s">
        <v>367</v>
      </c>
      <c r="B566" s="134"/>
      <c r="C566" s="134"/>
      <c r="D566" s="134"/>
      <c r="E566" s="135"/>
      <c r="F566" s="88"/>
      <c r="G566" s="87"/>
      <c r="H566" s="87"/>
      <c r="I566" s="55">
        <v>315</v>
      </c>
    </row>
    <row r="567" spans="1:9" ht="34.5" customHeight="1">
      <c r="A567" s="147" t="s">
        <v>145</v>
      </c>
      <c r="B567" s="134"/>
      <c r="C567" s="134"/>
      <c r="D567" s="134"/>
      <c r="E567" s="135"/>
      <c r="F567" s="88"/>
      <c r="G567" s="87"/>
      <c r="H567" s="87"/>
      <c r="I567" s="55">
        <v>140</v>
      </c>
    </row>
    <row r="568" spans="1:9" ht="33" customHeight="1" hidden="1">
      <c r="A568" s="147" t="s">
        <v>422</v>
      </c>
      <c r="B568" s="134"/>
      <c r="C568" s="134"/>
      <c r="D568" s="134"/>
      <c r="E568" s="135"/>
      <c r="F568" s="88"/>
      <c r="G568" s="87"/>
      <c r="H568" s="87"/>
      <c r="I568" s="55">
        <v>200</v>
      </c>
    </row>
    <row r="569" spans="1:9" ht="39.75" customHeight="1" hidden="1">
      <c r="A569" s="147" t="s">
        <v>150</v>
      </c>
      <c r="B569" s="134"/>
      <c r="C569" s="134"/>
      <c r="D569" s="134"/>
      <c r="E569" s="135"/>
      <c r="F569" s="88"/>
      <c r="G569" s="87"/>
      <c r="H569" s="87"/>
      <c r="I569" s="55">
        <v>0</v>
      </c>
    </row>
    <row r="570" spans="1:9" ht="39.75" customHeight="1" hidden="1">
      <c r="A570" s="147" t="s">
        <v>149</v>
      </c>
      <c r="B570" s="134"/>
      <c r="C570" s="134"/>
      <c r="D570" s="134"/>
      <c r="E570" s="135"/>
      <c r="F570" s="5"/>
      <c r="G570" s="5"/>
      <c r="H570" s="5"/>
      <c r="I570" s="55"/>
    </row>
    <row r="571" spans="1:9" ht="42" customHeight="1" hidden="1">
      <c r="A571" s="147" t="s">
        <v>148</v>
      </c>
      <c r="B571" s="134"/>
      <c r="C571" s="134"/>
      <c r="D571" s="134"/>
      <c r="E571" s="135"/>
      <c r="F571" s="5"/>
      <c r="G571" s="5"/>
      <c r="H571" s="5"/>
      <c r="I571" s="55">
        <v>155</v>
      </c>
    </row>
    <row r="572" spans="1:9" ht="42" customHeight="1" hidden="1">
      <c r="A572" s="147" t="s">
        <v>147</v>
      </c>
      <c r="B572" s="134"/>
      <c r="C572" s="134"/>
      <c r="D572" s="134"/>
      <c r="E572" s="135"/>
      <c r="F572" s="5"/>
      <c r="G572" s="5"/>
      <c r="H572" s="5"/>
      <c r="I572" s="55">
        <f>350-20</f>
        <v>330</v>
      </c>
    </row>
    <row r="573" spans="1:9" ht="42" customHeight="1">
      <c r="A573" s="147" t="s">
        <v>151</v>
      </c>
      <c r="B573" s="134"/>
      <c r="C573" s="134"/>
      <c r="D573" s="134"/>
      <c r="E573" s="135"/>
      <c r="F573" s="5"/>
      <c r="G573" s="5"/>
      <c r="H573" s="5"/>
      <c r="I573" s="55">
        <v>40</v>
      </c>
    </row>
    <row r="574" spans="1:9" ht="42" customHeight="1" hidden="1">
      <c r="A574" s="147" t="s">
        <v>146</v>
      </c>
      <c r="B574" s="134"/>
      <c r="C574" s="134"/>
      <c r="D574" s="134"/>
      <c r="E574" s="135"/>
      <c r="F574" s="5"/>
      <c r="G574" s="5"/>
      <c r="H574" s="5"/>
      <c r="I574" s="55">
        <v>20</v>
      </c>
    </row>
    <row r="575" spans="1:9" ht="31.5" customHeight="1" hidden="1">
      <c r="A575" s="14" t="s">
        <v>544</v>
      </c>
      <c r="B575" s="16">
        <v>1140</v>
      </c>
      <c r="C575" s="14" t="s">
        <v>864</v>
      </c>
      <c r="D575" s="17" t="s">
        <v>320</v>
      </c>
      <c r="E575" s="5"/>
      <c r="F575" s="5"/>
      <c r="G575" s="5"/>
      <c r="H575" s="5"/>
      <c r="I575" s="34">
        <v>220</v>
      </c>
    </row>
    <row r="576" spans="1:9" ht="27" customHeight="1" hidden="1">
      <c r="A576" s="144" t="s">
        <v>896</v>
      </c>
      <c r="B576" s="144"/>
      <c r="C576" s="144"/>
      <c r="D576" s="144"/>
      <c r="E576" s="144"/>
      <c r="F576" s="89"/>
      <c r="G576" s="89"/>
      <c r="H576" s="89"/>
      <c r="I576" s="55"/>
    </row>
    <row r="577" spans="1:9" ht="32.25" customHeight="1" hidden="1">
      <c r="A577" s="144" t="s">
        <v>897</v>
      </c>
      <c r="B577" s="144"/>
      <c r="C577" s="144"/>
      <c r="D577" s="144"/>
      <c r="E577" s="144"/>
      <c r="F577" s="89"/>
      <c r="G577" s="89"/>
      <c r="H577" s="89"/>
      <c r="I577" s="55"/>
    </row>
    <row r="578" spans="1:9" ht="29.25" customHeight="1" hidden="1">
      <c r="A578" s="144" t="s">
        <v>419</v>
      </c>
      <c r="B578" s="144"/>
      <c r="C578" s="144"/>
      <c r="D578" s="144"/>
      <c r="E578" s="144"/>
      <c r="F578" s="89"/>
      <c r="G578" s="89"/>
      <c r="H578" s="89"/>
      <c r="I578" s="55"/>
    </row>
    <row r="579" spans="1:9" ht="31.5" customHeight="1" hidden="1">
      <c r="A579" s="144" t="s">
        <v>420</v>
      </c>
      <c r="B579" s="144"/>
      <c r="C579" s="144"/>
      <c r="D579" s="144"/>
      <c r="E579" s="144"/>
      <c r="F579" s="89"/>
      <c r="G579" s="89"/>
      <c r="H579" s="89"/>
      <c r="I579" s="55"/>
    </row>
    <row r="580" spans="1:9" ht="32.25" customHeight="1" hidden="1">
      <c r="A580" s="144" t="s">
        <v>421</v>
      </c>
      <c r="B580" s="144"/>
      <c r="C580" s="144"/>
      <c r="D580" s="144"/>
      <c r="E580" s="144"/>
      <c r="F580" s="89"/>
      <c r="G580" s="89"/>
      <c r="H580" s="89"/>
      <c r="I580" s="55"/>
    </row>
    <row r="581" spans="1:9" ht="33" customHeight="1" hidden="1">
      <c r="A581" s="144" t="s">
        <v>422</v>
      </c>
      <c r="B581" s="144"/>
      <c r="C581" s="144"/>
      <c r="D581" s="144"/>
      <c r="E581" s="144"/>
      <c r="F581" s="89"/>
      <c r="G581" s="89"/>
      <c r="H581" s="89"/>
      <c r="I581" s="55"/>
    </row>
    <row r="582" spans="1:9" ht="39.75" customHeight="1" hidden="1">
      <c r="A582" s="144" t="s">
        <v>423</v>
      </c>
      <c r="B582" s="144"/>
      <c r="C582" s="144"/>
      <c r="D582" s="144"/>
      <c r="E582" s="144"/>
      <c r="F582" s="90"/>
      <c r="G582" s="90"/>
      <c r="H582" s="90"/>
      <c r="I582" s="55"/>
    </row>
    <row r="583" spans="1:9" ht="30.75" customHeight="1" hidden="1">
      <c r="A583" s="144" t="s">
        <v>424</v>
      </c>
      <c r="B583" s="144"/>
      <c r="C583" s="144"/>
      <c r="D583" s="144"/>
      <c r="E583" s="144"/>
      <c r="F583" s="37"/>
      <c r="G583" s="37"/>
      <c r="H583" s="37"/>
      <c r="I583" s="34"/>
    </row>
    <row r="584" spans="1:9" ht="27.75" customHeight="1" hidden="1">
      <c r="A584" s="144" t="s">
        <v>425</v>
      </c>
      <c r="B584" s="144"/>
      <c r="C584" s="144"/>
      <c r="D584" s="144"/>
      <c r="E584" s="144"/>
      <c r="F584" s="37"/>
      <c r="G584" s="37"/>
      <c r="H584" s="37"/>
      <c r="I584" s="34"/>
    </row>
    <row r="585" spans="1:9" ht="39" customHeight="1" hidden="1">
      <c r="A585" s="144" t="s">
        <v>859</v>
      </c>
      <c r="B585" s="144"/>
      <c r="C585" s="144"/>
      <c r="D585" s="144"/>
      <c r="E585" s="144"/>
      <c r="F585" s="37"/>
      <c r="G585" s="37"/>
      <c r="H585" s="37"/>
      <c r="I585" s="34">
        <f>220-173.03</f>
        <v>46.97</v>
      </c>
    </row>
    <row r="586" spans="1:9" ht="36" customHeight="1" hidden="1">
      <c r="A586" s="144" t="s">
        <v>860</v>
      </c>
      <c r="B586" s="144"/>
      <c r="C586" s="144"/>
      <c r="D586" s="144"/>
      <c r="E586" s="144"/>
      <c r="F586" s="37"/>
      <c r="G586" s="37"/>
      <c r="H586" s="37"/>
      <c r="I586" s="34">
        <v>173.03</v>
      </c>
    </row>
    <row r="587" spans="1:9" ht="15.75" hidden="1">
      <c r="A587" s="12" t="s">
        <v>545</v>
      </c>
      <c r="B587" s="18">
        <v>4000</v>
      </c>
      <c r="C587" s="170" t="s">
        <v>796</v>
      </c>
      <c r="D587" s="170"/>
      <c r="E587" s="5"/>
      <c r="F587" s="5"/>
      <c r="G587" s="5"/>
      <c r="H587" s="5"/>
      <c r="I587" s="50"/>
    </row>
    <row r="588" spans="1:9" ht="15.75" hidden="1">
      <c r="A588" s="14"/>
      <c r="B588" s="16"/>
      <c r="C588" s="29"/>
      <c r="D588" s="122"/>
      <c r="E588" s="5"/>
      <c r="F588" s="5"/>
      <c r="G588" s="5"/>
      <c r="H588" s="5"/>
      <c r="I588" s="11"/>
    </row>
    <row r="589" spans="1:9" ht="30" hidden="1">
      <c r="A589" s="14" t="s">
        <v>546</v>
      </c>
      <c r="B589" s="16">
        <v>4010</v>
      </c>
      <c r="C589" s="14" t="s">
        <v>547</v>
      </c>
      <c r="D589" s="17" t="s">
        <v>548</v>
      </c>
      <c r="E589" s="15" t="s">
        <v>756</v>
      </c>
      <c r="F589" s="5"/>
      <c r="G589" s="5"/>
      <c r="H589" s="5"/>
      <c r="I589" s="123">
        <f>2420-120</f>
        <v>2300</v>
      </c>
    </row>
    <row r="590" spans="1:9" ht="36.75" customHeight="1" hidden="1">
      <c r="A590" s="144" t="s">
        <v>316</v>
      </c>
      <c r="B590" s="144"/>
      <c r="C590" s="144"/>
      <c r="D590" s="144"/>
      <c r="E590" s="144"/>
      <c r="F590" s="37"/>
      <c r="G590" s="37"/>
      <c r="H590" s="37"/>
      <c r="I590" s="55">
        <f>600-600</f>
        <v>0</v>
      </c>
    </row>
    <row r="591" spans="1:9" ht="36.75" customHeight="1" hidden="1">
      <c r="A591" s="144" t="s">
        <v>511</v>
      </c>
      <c r="B591" s="144"/>
      <c r="C591" s="144"/>
      <c r="D591" s="144"/>
      <c r="E591" s="144"/>
      <c r="F591" s="37"/>
      <c r="G591" s="37"/>
      <c r="H591" s="37"/>
      <c r="I591" s="55">
        <v>600</v>
      </c>
    </row>
    <row r="592" spans="1:9" ht="36.75" customHeight="1" hidden="1">
      <c r="A592" s="144" t="s">
        <v>671</v>
      </c>
      <c r="B592" s="144"/>
      <c r="C592" s="144"/>
      <c r="D592" s="144"/>
      <c r="E592" s="144"/>
      <c r="F592" s="37"/>
      <c r="G592" s="37"/>
      <c r="H592" s="37"/>
      <c r="I592" s="55">
        <f>550-550</f>
        <v>0</v>
      </c>
    </row>
    <row r="593" spans="1:9" ht="33" customHeight="1" hidden="1">
      <c r="A593" s="144" t="s">
        <v>996</v>
      </c>
      <c r="B593" s="144"/>
      <c r="C593" s="144"/>
      <c r="D593" s="144"/>
      <c r="E593" s="144"/>
      <c r="F593" s="37"/>
      <c r="G593" s="37"/>
      <c r="H593" s="37"/>
      <c r="I593" s="55">
        <f>750-750</f>
        <v>0</v>
      </c>
    </row>
    <row r="594" spans="1:9" ht="33" customHeight="1" hidden="1">
      <c r="A594" s="144" t="s">
        <v>839</v>
      </c>
      <c r="B594" s="144"/>
      <c r="C594" s="144"/>
      <c r="D594" s="144"/>
      <c r="E594" s="144"/>
      <c r="F594" s="98"/>
      <c r="G594" s="98"/>
      <c r="H594" s="98"/>
      <c r="I594" s="55">
        <f>120-120</f>
        <v>0</v>
      </c>
    </row>
    <row r="595" spans="1:9" ht="32.25" customHeight="1" hidden="1">
      <c r="A595" s="144" t="s">
        <v>997</v>
      </c>
      <c r="B595" s="144"/>
      <c r="C595" s="144"/>
      <c r="D595" s="144"/>
      <c r="E595" s="144"/>
      <c r="F595" s="37"/>
      <c r="G595" s="37"/>
      <c r="H595" s="37"/>
      <c r="I595" s="55"/>
    </row>
    <row r="596" spans="1:9" ht="24.75" customHeight="1" hidden="1">
      <c r="A596" s="144" t="s">
        <v>998</v>
      </c>
      <c r="B596" s="144"/>
      <c r="C596" s="144"/>
      <c r="D596" s="144"/>
      <c r="E596" s="144"/>
      <c r="F596" s="37"/>
      <c r="G596" s="37"/>
      <c r="H596" s="37"/>
      <c r="I596" s="55">
        <f>500+800</f>
        <v>1300</v>
      </c>
    </row>
    <row r="597" spans="1:9" ht="60" hidden="1">
      <c r="A597" s="14" t="s">
        <v>549</v>
      </c>
      <c r="B597" s="16">
        <v>4020</v>
      </c>
      <c r="C597" s="14" t="s">
        <v>550</v>
      </c>
      <c r="D597" s="17" t="s">
        <v>551</v>
      </c>
      <c r="E597" s="15" t="s">
        <v>756</v>
      </c>
      <c r="F597" s="5"/>
      <c r="G597" s="5"/>
      <c r="H597" s="5"/>
      <c r="I597" s="34">
        <f>641+842</f>
        <v>1483</v>
      </c>
    </row>
    <row r="598" spans="1:9" ht="15.75" hidden="1">
      <c r="A598" s="189" t="s">
        <v>268</v>
      </c>
      <c r="B598" s="161"/>
      <c r="C598" s="161"/>
      <c r="D598" s="161"/>
      <c r="E598" s="162"/>
      <c r="F598" s="5"/>
      <c r="G598" s="5"/>
      <c r="H598" s="5"/>
      <c r="I598" s="34">
        <v>447</v>
      </c>
    </row>
    <row r="599" spans="1:9" ht="15.75" hidden="1">
      <c r="A599" s="189" t="s">
        <v>269</v>
      </c>
      <c r="B599" s="161"/>
      <c r="C599" s="161"/>
      <c r="D599" s="161"/>
      <c r="E599" s="162"/>
      <c r="F599" s="5"/>
      <c r="G599" s="5"/>
      <c r="H599" s="5"/>
      <c r="I599" s="34">
        <v>198</v>
      </c>
    </row>
    <row r="600" spans="1:9" ht="33.75" customHeight="1" hidden="1">
      <c r="A600" s="189" t="s">
        <v>495</v>
      </c>
      <c r="B600" s="161"/>
      <c r="C600" s="161"/>
      <c r="D600" s="161"/>
      <c r="E600" s="162"/>
      <c r="F600" s="5"/>
      <c r="G600" s="5"/>
      <c r="H600" s="5"/>
      <c r="I600" s="34">
        <v>197</v>
      </c>
    </row>
    <row r="601" spans="1:9" ht="30">
      <c r="A601" s="14" t="s">
        <v>552</v>
      </c>
      <c r="B601" s="16">
        <v>4030</v>
      </c>
      <c r="C601" s="14" t="s">
        <v>349</v>
      </c>
      <c r="D601" s="17" t="s">
        <v>350</v>
      </c>
      <c r="E601" s="15" t="s">
        <v>756</v>
      </c>
      <c r="F601" s="5"/>
      <c r="G601" s="5"/>
      <c r="H601" s="5"/>
      <c r="I601" s="34">
        <v>2673</v>
      </c>
    </row>
    <row r="602" spans="1:9" ht="15.75" customHeight="1" hidden="1">
      <c r="A602" s="144" t="s">
        <v>999</v>
      </c>
      <c r="B602" s="144"/>
      <c r="C602" s="144"/>
      <c r="D602" s="144"/>
      <c r="E602" s="144"/>
      <c r="F602" s="37"/>
      <c r="G602" s="37"/>
      <c r="H602" s="37"/>
      <c r="I602" s="55"/>
    </row>
    <row r="603" spans="1:9" ht="15.75" customHeight="1" hidden="1">
      <c r="A603" s="144" t="s">
        <v>1000</v>
      </c>
      <c r="B603" s="144"/>
      <c r="C603" s="144"/>
      <c r="D603" s="144"/>
      <c r="E603" s="144"/>
      <c r="F603" s="37"/>
      <c r="G603" s="37"/>
      <c r="H603" s="37"/>
      <c r="I603" s="55"/>
    </row>
    <row r="604" spans="1:9" ht="15.75" customHeight="1" hidden="1">
      <c r="A604" s="144" t="s">
        <v>1001</v>
      </c>
      <c r="B604" s="144"/>
      <c r="C604" s="144"/>
      <c r="D604" s="144"/>
      <c r="E604" s="144"/>
      <c r="F604" s="37"/>
      <c r="G604" s="37"/>
      <c r="H604" s="37"/>
      <c r="I604" s="55"/>
    </row>
    <row r="605" spans="1:9" ht="15.75" customHeight="1" hidden="1">
      <c r="A605" s="147" t="s">
        <v>350</v>
      </c>
      <c r="B605" s="134"/>
      <c r="C605" s="134"/>
      <c r="D605" s="134"/>
      <c r="E605" s="135"/>
      <c r="F605" s="37"/>
      <c r="G605" s="37"/>
      <c r="H605" s="37"/>
      <c r="I605" s="55">
        <f>2583-80</f>
        <v>2503</v>
      </c>
    </row>
    <row r="606" spans="1:9" ht="15.75" customHeight="1">
      <c r="A606" s="147" t="s">
        <v>152</v>
      </c>
      <c r="B606" s="134"/>
      <c r="C606" s="134"/>
      <c r="D606" s="134"/>
      <c r="E606" s="135"/>
      <c r="F606" s="37"/>
      <c r="G606" s="37"/>
      <c r="H606" s="37"/>
      <c r="I606" s="55">
        <v>90</v>
      </c>
    </row>
    <row r="607" spans="1:9" ht="15.75" customHeight="1" hidden="1">
      <c r="A607" s="147" t="s">
        <v>861</v>
      </c>
      <c r="B607" s="134"/>
      <c r="C607" s="134"/>
      <c r="D607" s="134"/>
      <c r="E607" s="135"/>
      <c r="F607" s="37"/>
      <c r="G607" s="37"/>
      <c r="H607" s="37"/>
      <c r="I607" s="55">
        <v>80</v>
      </c>
    </row>
    <row r="608" spans="1:9" ht="30">
      <c r="A608" s="14" t="s">
        <v>553</v>
      </c>
      <c r="B608" s="16">
        <v>4040</v>
      </c>
      <c r="C608" s="14" t="s">
        <v>554</v>
      </c>
      <c r="D608" s="17" t="s">
        <v>555</v>
      </c>
      <c r="E608" s="15" t="s">
        <v>756</v>
      </c>
      <c r="F608" s="5"/>
      <c r="G608" s="5"/>
      <c r="H608" s="5"/>
      <c r="I608" s="34">
        <v>1130</v>
      </c>
    </row>
    <row r="609" spans="1:9" ht="15.75" customHeight="1" hidden="1">
      <c r="A609" s="144" t="s">
        <v>1002</v>
      </c>
      <c r="B609" s="144"/>
      <c r="C609" s="144"/>
      <c r="D609" s="144"/>
      <c r="E609" s="144"/>
      <c r="F609" s="37"/>
      <c r="G609" s="37"/>
      <c r="H609" s="37"/>
      <c r="I609" s="55"/>
    </row>
    <row r="610" spans="1:9" ht="15.75" customHeight="1" hidden="1">
      <c r="A610" s="144" t="s">
        <v>158</v>
      </c>
      <c r="B610" s="144"/>
      <c r="C610" s="144"/>
      <c r="D610" s="144"/>
      <c r="E610" s="144"/>
      <c r="F610" s="37"/>
      <c r="G610" s="37"/>
      <c r="H610" s="37"/>
      <c r="I610" s="55"/>
    </row>
    <row r="611" spans="1:9" ht="15.75" customHeight="1" hidden="1">
      <c r="A611" s="144" t="s">
        <v>521</v>
      </c>
      <c r="B611" s="144"/>
      <c r="C611" s="144"/>
      <c r="D611" s="144"/>
      <c r="E611" s="144"/>
      <c r="F611" s="37"/>
      <c r="G611" s="37"/>
      <c r="H611" s="37"/>
      <c r="I611" s="55"/>
    </row>
    <row r="612" spans="1:9" ht="15.75" customHeight="1" hidden="1">
      <c r="A612" s="144" t="s">
        <v>522</v>
      </c>
      <c r="B612" s="144"/>
      <c r="C612" s="144"/>
      <c r="D612" s="144"/>
      <c r="E612" s="144"/>
      <c r="F612" s="37"/>
      <c r="G612" s="37"/>
      <c r="H612" s="37"/>
      <c r="I612" s="55"/>
    </row>
    <row r="613" spans="1:9" ht="29.25" customHeight="1">
      <c r="A613" s="144" t="s">
        <v>382</v>
      </c>
      <c r="B613" s="144"/>
      <c r="C613" s="144"/>
      <c r="D613" s="144"/>
      <c r="E613" s="144"/>
      <c r="F613" s="37"/>
      <c r="G613" s="37"/>
      <c r="H613" s="37"/>
      <c r="I613" s="55">
        <f>100-100</f>
        <v>0</v>
      </c>
    </row>
    <row r="614" spans="1:9" ht="15.75" customHeight="1">
      <c r="A614" s="144" t="s">
        <v>609</v>
      </c>
      <c r="B614" s="144"/>
      <c r="C614" s="144"/>
      <c r="D614" s="144"/>
      <c r="E614" s="144"/>
      <c r="F614" s="37"/>
      <c r="G614" s="37"/>
      <c r="H614" s="37"/>
      <c r="I614" s="55">
        <f>399-399</f>
        <v>0</v>
      </c>
    </row>
    <row r="615" spans="1:9" ht="35.25" customHeight="1" hidden="1">
      <c r="A615" s="144" t="s">
        <v>624</v>
      </c>
      <c r="B615" s="144"/>
      <c r="C615" s="144"/>
      <c r="D615" s="144"/>
      <c r="E615" s="144"/>
      <c r="F615" s="37"/>
      <c r="G615" s="37"/>
      <c r="H615" s="37"/>
      <c r="I615" s="55"/>
    </row>
    <row r="616" spans="1:9" ht="30" hidden="1">
      <c r="A616" s="14" t="s">
        <v>556</v>
      </c>
      <c r="B616" s="16">
        <v>4050</v>
      </c>
      <c r="C616" s="14" t="s">
        <v>557</v>
      </c>
      <c r="D616" s="17" t="s">
        <v>558</v>
      </c>
      <c r="E616" s="15" t="s">
        <v>756</v>
      </c>
      <c r="F616" s="5"/>
      <c r="G616" s="5"/>
      <c r="H616" s="5"/>
      <c r="I616" s="34">
        <v>870.1</v>
      </c>
    </row>
    <row r="617" spans="1:9" ht="15.75" hidden="1">
      <c r="A617" s="144" t="s">
        <v>331</v>
      </c>
      <c r="B617" s="144"/>
      <c r="C617" s="144"/>
      <c r="D617" s="144"/>
      <c r="E617" s="144"/>
      <c r="F617" s="37"/>
      <c r="G617" s="37"/>
      <c r="H617" s="37"/>
      <c r="I617" s="55">
        <f>500-21.97</f>
        <v>478.03</v>
      </c>
    </row>
    <row r="618" spans="1:9" ht="15.75" hidden="1">
      <c r="A618" s="144" t="s">
        <v>862</v>
      </c>
      <c r="B618" s="144"/>
      <c r="C618" s="144"/>
      <c r="D618" s="144"/>
      <c r="E618" s="144"/>
      <c r="F618" s="37"/>
      <c r="G618" s="37"/>
      <c r="H618" s="37"/>
      <c r="I618" s="55">
        <f>21.97</f>
        <v>21.97</v>
      </c>
    </row>
    <row r="619" spans="1:9" ht="30" hidden="1">
      <c r="A619" s="14" t="s">
        <v>559</v>
      </c>
      <c r="B619" s="16">
        <v>4070</v>
      </c>
      <c r="C619" s="29" t="s">
        <v>560</v>
      </c>
      <c r="D619" s="17" t="s">
        <v>561</v>
      </c>
      <c r="E619" s="15" t="s">
        <v>756</v>
      </c>
      <c r="F619" s="5"/>
      <c r="G619" s="5"/>
      <c r="H619" s="5"/>
      <c r="I619" s="5"/>
    </row>
    <row r="620" spans="1:9" ht="30" hidden="1">
      <c r="A620" s="14" t="s">
        <v>562</v>
      </c>
      <c r="B620" s="16">
        <v>4080</v>
      </c>
      <c r="C620" s="29" t="s">
        <v>563</v>
      </c>
      <c r="D620" s="17" t="s">
        <v>1035</v>
      </c>
      <c r="E620" s="15" t="s">
        <v>756</v>
      </c>
      <c r="F620" s="5"/>
      <c r="G620" s="5"/>
      <c r="H620" s="5"/>
      <c r="I620" s="5"/>
    </row>
    <row r="621" spans="1:9" ht="45">
      <c r="A621" s="19" t="s">
        <v>491</v>
      </c>
      <c r="B621" s="21">
        <v>4081</v>
      </c>
      <c r="C621" s="202" t="s">
        <v>563</v>
      </c>
      <c r="D621" s="20" t="s">
        <v>492</v>
      </c>
      <c r="E621" s="15" t="s">
        <v>756</v>
      </c>
      <c r="F621" s="5"/>
      <c r="G621" s="5"/>
      <c r="H621" s="5"/>
      <c r="I621" s="34">
        <v>125</v>
      </c>
    </row>
    <row r="622" spans="1:9" ht="15.75" hidden="1">
      <c r="A622" s="144" t="s">
        <v>493</v>
      </c>
      <c r="B622" s="144"/>
      <c r="C622" s="144"/>
      <c r="D622" s="144"/>
      <c r="E622" s="144"/>
      <c r="F622" s="37"/>
      <c r="G622" s="37"/>
      <c r="H622" s="37"/>
      <c r="I622" s="55">
        <v>97</v>
      </c>
    </row>
    <row r="623" spans="1:9" ht="15.75" customHeight="1">
      <c r="A623" s="144" t="s">
        <v>153</v>
      </c>
      <c r="B623" s="144"/>
      <c r="C623" s="144"/>
      <c r="D623" s="144"/>
      <c r="E623" s="144"/>
      <c r="F623" s="5"/>
      <c r="G623" s="5"/>
      <c r="H623" s="5"/>
      <c r="I623" s="55">
        <v>28</v>
      </c>
    </row>
    <row r="624" spans="1:9" ht="15.75" hidden="1">
      <c r="A624" s="14"/>
      <c r="B624" s="16"/>
      <c r="C624" s="29"/>
      <c r="D624" s="17"/>
      <c r="E624" s="15"/>
      <c r="F624" s="5"/>
      <c r="G624" s="5"/>
      <c r="H624" s="5"/>
      <c r="I624" s="5"/>
    </row>
    <row r="625" spans="1:9" ht="15.75" hidden="1">
      <c r="A625" s="14"/>
      <c r="B625" s="16"/>
      <c r="C625" s="14"/>
      <c r="D625" s="15"/>
      <c r="E625" s="5"/>
      <c r="F625" s="5"/>
      <c r="G625" s="5"/>
      <c r="H625" s="5"/>
      <c r="I625" s="5"/>
    </row>
    <row r="626" spans="1:9" ht="15.75" hidden="1">
      <c r="A626" s="12" t="s">
        <v>1036</v>
      </c>
      <c r="B626" s="130" t="s">
        <v>1037</v>
      </c>
      <c r="C626" s="130"/>
      <c r="D626" s="130"/>
      <c r="E626" s="5"/>
      <c r="F626" s="5"/>
      <c r="G626" s="5"/>
      <c r="H626" s="5"/>
      <c r="I626" s="5"/>
    </row>
    <row r="627" spans="1:9" ht="15.75" hidden="1">
      <c r="A627" s="13" t="s">
        <v>1038</v>
      </c>
      <c r="B627" s="154" t="s">
        <v>1037</v>
      </c>
      <c r="C627" s="154"/>
      <c r="D627" s="154"/>
      <c r="E627" s="5"/>
      <c r="F627" s="5"/>
      <c r="G627" s="5"/>
      <c r="H627" s="5"/>
      <c r="I627" s="5"/>
    </row>
    <row r="628" spans="1:9" ht="15.75" hidden="1">
      <c r="A628" s="12" t="s">
        <v>1039</v>
      </c>
      <c r="B628" s="18">
        <v>4000</v>
      </c>
      <c r="C628" s="170" t="s">
        <v>796</v>
      </c>
      <c r="D628" s="170"/>
      <c r="E628" s="5"/>
      <c r="F628" s="5"/>
      <c r="G628" s="5"/>
      <c r="H628" s="5"/>
      <c r="I628" s="5"/>
    </row>
    <row r="629" spans="1:9" ht="30" hidden="1">
      <c r="A629" s="14" t="s">
        <v>1040</v>
      </c>
      <c r="B629" s="16">
        <v>4080</v>
      </c>
      <c r="C629" s="14" t="s">
        <v>563</v>
      </c>
      <c r="D629" s="17" t="s">
        <v>1035</v>
      </c>
      <c r="E629" s="5"/>
      <c r="F629" s="5"/>
      <c r="G629" s="5"/>
      <c r="H629" s="5"/>
      <c r="I629" s="5"/>
    </row>
    <row r="630" spans="1:9" ht="48" hidden="1">
      <c r="A630" s="26"/>
      <c r="B630" s="27"/>
      <c r="C630" s="26" t="s">
        <v>563</v>
      </c>
      <c r="D630" s="22" t="s">
        <v>1032</v>
      </c>
      <c r="E630" s="5"/>
      <c r="F630" s="5"/>
      <c r="G630" s="5"/>
      <c r="H630" s="5"/>
      <c r="I630" s="5"/>
    </row>
    <row r="631" spans="1:9" ht="36" hidden="1">
      <c r="A631" s="26"/>
      <c r="B631" s="27"/>
      <c r="C631" s="26" t="s">
        <v>563</v>
      </c>
      <c r="D631" s="22" t="s">
        <v>914</v>
      </c>
      <c r="E631" s="5"/>
      <c r="F631" s="5"/>
      <c r="G631" s="5"/>
      <c r="H631" s="5"/>
      <c r="I631" s="5"/>
    </row>
    <row r="632" spans="1:9" ht="15.75" customHeight="1" hidden="1">
      <c r="A632" s="186" t="s">
        <v>329</v>
      </c>
      <c r="B632" s="186"/>
      <c r="C632" s="186"/>
      <c r="D632" s="186"/>
      <c r="E632" s="186"/>
      <c r="F632" s="57"/>
      <c r="G632" s="57"/>
      <c r="H632" s="57"/>
      <c r="I632" s="34"/>
    </row>
    <row r="633" spans="1:9" ht="33" customHeight="1" hidden="1">
      <c r="A633" s="186" t="s">
        <v>330</v>
      </c>
      <c r="B633" s="186"/>
      <c r="C633" s="186"/>
      <c r="D633" s="186"/>
      <c r="E633" s="186"/>
      <c r="F633" s="57"/>
      <c r="G633" s="57"/>
      <c r="H633" s="57"/>
      <c r="I633" s="34"/>
    </row>
    <row r="634" spans="1:9" ht="15.75" customHeight="1" hidden="1">
      <c r="A634" s="186" t="s">
        <v>331</v>
      </c>
      <c r="B634" s="186"/>
      <c r="C634" s="186"/>
      <c r="D634" s="186"/>
      <c r="E634" s="186"/>
      <c r="F634" s="57"/>
      <c r="G634" s="57"/>
      <c r="H634" s="57"/>
      <c r="I634" s="34"/>
    </row>
    <row r="635" spans="1:9" ht="15.75" customHeight="1" hidden="1">
      <c r="A635" s="12" t="s">
        <v>915</v>
      </c>
      <c r="B635" s="155" t="s">
        <v>916</v>
      </c>
      <c r="C635" s="155"/>
      <c r="D635" s="155"/>
      <c r="E635" s="5"/>
      <c r="F635" s="5"/>
      <c r="G635" s="5"/>
      <c r="H635" s="5"/>
      <c r="I635" s="40"/>
    </row>
    <row r="636" spans="1:9" ht="15.75" customHeight="1" hidden="1">
      <c r="A636" s="13" t="s">
        <v>917</v>
      </c>
      <c r="B636" s="154" t="s">
        <v>916</v>
      </c>
      <c r="C636" s="154"/>
      <c r="D636" s="154"/>
      <c r="E636" s="5"/>
      <c r="F636" s="5"/>
      <c r="G636" s="5"/>
      <c r="H636" s="5"/>
      <c r="I636" s="41"/>
    </row>
    <row r="637" spans="1:9" ht="15.75" customHeight="1" hidden="1">
      <c r="A637" s="12" t="s">
        <v>918</v>
      </c>
      <c r="B637" s="18">
        <v>5000</v>
      </c>
      <c r="C637" s="130" t="s">
        <v>919</v>
      </c>
      <c r="D637" s="130"/>
      <c r="E637" s="5"/>
      <c r="F637" s="5"/>
      <c r="G637" s="5"/>
      <c r="H637" s="5"/>
      <c r="I637" s="56"/>
    </row>
    <row r="638" spans="1:9" ht="15.75" hidden="1">
      <c r="A638" s="14" t="s">
        <v>920</v>
      </c>
      <c r="B638" s="16">
        <v>5010</v>
      </c>
      <c r="C638" s="153" t="s">
        <v>921</v>
      </c>
      <c r="D638" s="153"/>
      <c r="E638" s="5"/>
      <c r="F638" s="5"/>
      <c r="G638" s="5"/>
      <c r="H638" s="5"/>
      <c r="I638" s="5"/>
    </row>
    <row r="639" spans="1:9" ht="45" hidden="1">
      <c r="A639" s="14" t="s">
        <v>953</v>
      </c>
      <c r="B639" s="16">
        <v>5011</v>
      </c>
      <c r="C639" s="14" t="s">
        <v>509</v>
      </c>
      <c r="D639" s="15" t="s">
        <v>1045</v>
      </c>
      <c r="E639" s="5"/>
      <c r="F639" s="5"/>
      <c r="G639" s="5"/>
      <c r="H639" s="5"/>
      <c r="I639" s="5"/>
    </row>
    <row r="640" spans="1:9" ht="45" hidden="1">
      <c r="A640" s="14" t="s">
        <v>1046</v>
      </c>
      <c r="B640" s="16">
        <v>5012</v>
      </c>
      <c r="C640" s="14" t="s">
        <v>1047</v>
      </c>
      <c r="D640" s="15" t="s">
        <v>950</v>
      </c>
      <c r="E640" s="5"/>
      <c r="F640" s="5"/>
      <c r="G640" s="5"/>
      <c r="H640" s="5"/>
      <c r="I640" s="5"/>
    </row>
    <row r="641" spans="1:9" ht="31.5" customHeight="1" hidden="1">
      <c r="A641" s="12" t="s">
        <v>951</v>
      </c>
      <c r="B641" s="18">
        <v>5020</v>
      </c>
      <c r="C641" s="130" t="s">
        <v>1004</v>
      </c>
      <c r="D641" s="130"/>
      <c r="E641" s="5"/>
      <c r="F641" s="5"/>
      <c r="G641" s="5"/>
      <c r="H641" s="5"/>
      <c r="I641" s="5"/>
    </row>
    <row r="642" spans="1:9" ht="30" hidden="1">
      <c r="A642" s="14" t="s">
        <v>1005</v>
      </c>
      <c r="B642" s="16">
        <v>5021</v>
      </c>
      <c r="C642" s="14" t="s">
        <v>1006</v>
      </c>
      <c r="D642" s="15" t="s">
        <v>1007</v>
      </c>
      <c r="E642" s="15" t="s">
        <v>756</v>
      </c>
      <c r="F642" s="5"/>
      <c r="G642" s="5"/>
      <c r="H642" s="5"/>
      <c r="I642" s="34">
        <v>60</v>
      </c>
    </row>
    <row r="643" spans="1:9" ht="34.5" customHeight="1" hidden="1">
      <c r="A643" s="147" t="s">
        <v>69</v>
      </c>
      <c r="B643" s="134"/>
      <c r="C643" s="134"/>
      <c r="D643" s="134"/>
      <c r="E643" s="135"/>
      <c r="F643" s="37"/>
      <c r="G643" s="37"/>
      <c r="H643" s="37"/>
      <c r="I643" s="58">
        <v>60</v>
      </c>
    </row>
    <row r="644" spans="1:9" ht="45" hidden="1">
      <c r="A644" s="14" t="s">
        <v>1008</v>
      </c>
      <c r="B644" s="16">
        <v>5022</v>
      </c>
      <c r="C644" s="14" t="s">
        <v>1009</v>
      </c>
      <c r="D644" s="15" t="s">
        <v>1010</v>
      </c>
      <c r="E644" s="5"/>
      <c r="F644" s="5"/>
      <c r="G644" s="5"/>
      <c r="H644" s="5"/>
      <c r="I644" s="5"/>
    </row>
    <row r="645" spans="1:9" ht="15" hidden="1">
      <c r="A645" s="147"/>
      <c r="B645" s="134"/>
      <c r="C645" s="134"/>
      <c r="D645" s="134"/>
      <c r="E645" s="135"/>
      <c r="F645" s="37"/>
      <c r="G645" s="37"/>
      <c r="H645" s="37"/>
      <c r="I645" s="58"/>
    </row>
    <row r="646" spans="1:9" ht="15.75" hidden="1">
      <c r="A646" s="14"/>
      <c r="B646" s="16"/>
      <c r="C646" s="14"/>
      <c r="D646" s="15"/>
      <c r="E646" s="5"/>
      <c r="F646" s="5"/>
      <c r="G646" s="5"/>
      <c r="H646" s="5"/>
      <c r="I646" s="5"/>
    </row>
    <row r="647" spans="1:9" ht="40.5" customHeight="1" hidden="1">
      <c r="A647" s="12" t="s">
        <v>1011</v>
      </c>
      <c r="B647" s="18">
        <v>5030</v>
      </c>
      <c r="C647" s="130" t="s">
        <v>1012</v>
      </c>
      <c r="D647" s="130"/>
      <c r="E647" s="5"/>
      <c r="F647" s="5"/>
      <c r="G647" s="5"/>
      <c r="H647" s="5"/>
      <c r="I647" s="56"/>
    </row>
    <row r="648" spans="1:9" ht="45" hidden="1">
      <c r="A648" s="14" t="s">
        <v>1013</v>
      </c>
      <c r="B648" s="16">
        <v>5031</v>
      </c>
      <c r="C648" s="14" t="s">
        <v>1014</v>
      </c>
      <c r="D648" s="17" t="s">
        <v>1015</v>
      </c>
      <c r="E648" s="15" t="s">
        <v>756</v>
      </c>
      <c r="F648" s="5"/>
      <c r="G648" s="5"/>
      <c r="H648" s="5"/>
      <c r="I648" s="34">
        <v>1495.01</v>
      </c>
    </row>
    <row r="649" spans="1:9" ht="40.5" customHeight="1" hidden="1">
      <c r="A649" s="147" t="s">
        <v>235</v>
      </c>
      <c r="B649" s="134"/>
      <c r="C649" s="134"/>
      <c r="D649" s="134"/>
      <c r="E649" s="135"/>
      <c r="F649" s="37"/>
      <c r="G649" s="37"/>
      <c r="H649" s="37"/>
      <c r="I649" s="58">
        <v>300</v>
      </c>
    </row>
    <row r="650" spans="1:9" ht="40.5" customHeight="1" hidden="1">
      <c r="A650" s="147" t="s">
        <v>251</v>
      </c>
      <c r="B650" s="187"/>
      <c r="C650" s="187"/>
      <c r="D650" s="187"/>
      <c r="E650" s="188"/>
      <c r="F650" s="37"/>
      <c r="G650" s="37"/>
      <c r="H650" s="37"/>
      <c r="I650" s="58">
        <f>540-36.99</f>
        <v>503.01</v>
      </c>
    </row>
    <row r="651" spans="1:9" ht="21" customHeight="1" hidden="1">
      <c r="A651" s="147" t="s">
        <v>494</v>
      </c>
      <c r="B651" s="134"/>
      <c r="C651" s="134"/>
      <c r="D651" s="134"/>
      <c r="E651" s="135"/>
      <c r="F651" s="37"/>
      <c r="G651" s="37"/>
      <c r="H651" s="37"/>
      <c r="I651" s="58">
        <v>20</v>
      </c>
    </row>
    <row r="652" spans="1:9" ht="31.5" customHeight="1" hidden="1">
      <c r="A652" s="147" t="s">
        <v>786</v>
      </c>
      <c r="B652" s="134"/>
      <c r="C652" s="134"/>
      <c r="D652" s="134"/>
      <c r="E652" s="135"/>
      <c r="F652" s="37"/>
      <c r="G652" s="37"/>
      <c r="H652" s="37"/>
      <c r="I652" s="58">
        <v>30</v>
      </c>
    </row>
    <row r="653" spans="1:9" ht="35.25" customHeight="1" hidden="1">
      <c r="A653" s="147" t="s">
        <v>104</v>
      </c>
      <c r="B653" s="134"/>
      <c r="C653" s="134"/>
      <c r="D653" s="134"/>
      <c r="E653" s="135"/>
      <c r="F653" s="5"/>
      <c r="G653" s="5"/>
      <c r="H653" s="5"/>
      <c r="I653" s="34"/>
    </row>
    <row r="654" spans="1:9" ht="45" hidden="1">
      <c r="A654" s="14" t="s">
        <v>1016</v>
      </c>
      <c r="B654" s="16">
        <v>5032</v>
      </c>
      <c r="C654" s="14" t="s">
        <v>1017</v>
      </c>
      <c r="D654" s="17" t="s">
        <v>1018</v>
      </c>
      <c r="E654" s="15" t="s">
        <v>756</v>
      </c>
      <c r="F654" s="5"/>
      <c r="G654" s="5"/>
      <c r="H654" s="5"/>
      <c r="I654" s="34"/>
    </row>
    <row r="655" spans="1:9" ht="43.5" customHeight="1" hidden="1">
      <c r="A655" s="144" t="s">
        <v>433</v>
      </c>
      <c r="B655" s="144"/>
      <c r="C655" s="144"/>
      <c r="D655" s="144"/>
      <c r="E655" s="144"/>
      <c r="F655" s="37"/>
      <c r="G655" s="37"/>
      <c r="H655" s="37"/>
      <c r="I655" s="58"/>
    </row>
    <row r="656" spans="1:9" ht="45" hidden="1">
      <c r="A656" s="14" t="s">
        <v>1019</v>
      </c>
      <c r="B656" s="16">
        <v>5033</v>
      </c>
      <c r="C656" s="14" t="s">
        <v>1020</v>
      </c>
      <c r="D656" s="15" t="s">
        <v>1021</v>
      </c>
      <c r="E656" s="15" t="s">
        <v>756</v>
      </c>
      <c r="F656" s="5"/>
      <c r="G656" s="5"/>
      <c r="H656" s="5"/>
      <c r="I656" s="34">
        <v>830</v>
      </c>
    </row>
    <row r="657" spans="1:9" ht="35.25" customHeight="1" hidden="1">
      <c r="A657" s="146" t="s">
        <v>601</v>
      </c>
      <c r="B657" s="146"/>
      <c r="C657" s="146"/>
      <c r="D657" s="146"/>
      <c r="E657" s="146"/>
      <c r="F657" s="5"/>
      <c r="G657" s="5"/>
      <c r="H657" s="5"/>
      <c r="I657" s="55">
        <v>100</v>
      </c>
    </row>
    <row r="658" spans="1:9" ht="35.25" customHeight="1" hidden="1">
      <c r="A658" s="146" t="s">
        <v>1090</v>
      </c>
      <c r="B658" s="146"/>
      <c r="C658" s="146"/>
      <c r="D658" s="146"/>
      <c r="E658" s="146"/>
      <c r="F658" s="5"/>
      <c r="G658" s="5"/>
      <c r="H658" s="5"/>
      <c r="I658" s="55">
        <v>107</v>
      </c>
    </row>
    <row r="659" spans="1:9" ht="57.75" customHeight="1" hidden="1">
      <c r="A659" s="146" t="s">
        <v>252</v>
      </c>
      <c r="B659" s="146"/>
      <c r="C659" s="146"/>
      <c r="D659" s="146"/>
      <c r="E659" s="146"/>
      <c r="F659" s="5"/>
      <c r="G659" s="5"/>
      <c r="H659" s="5"/>
      <c r="I659" s="55">
        <v>125</v>
      </c>
    </row>
    <row r="660" spans="1:9" ht="48" customHeight="1" hidden="1">
      <c r="A660" s="146" t="s">
        <v>434</v>
      </c>
      <c r="B660" s="146"/>
      <c r="C660" s="146"/>
      <c r="D660" s="146"/>
      <c r="E660" s="146"/>
      <c r="F660" s="28"/>
      <c r="G660" s="28"/>
      <c r="H660" s="28"/>
      <c r="I660" s="55"/>
    </row>
    <row r="661" spans="1:9" ht="33" customHeight="1" hidden="1">
      <c r="A661" s="12" t="s">
        <v>1022</v>
      </c>
      <c r="B661" s="18">
        <v>5040</v>
      </c>
      <c r="C661" s="130" t="s">
        <v>1023</v>
      </c>
      <c r="D661" s="130"/>
      <c r="E661" s="5"/>
      <c r="F661" s="5"/>
      <c r="G661" s="5"/>
      <c r="H661" s="5"/>
      <c r="I661" s="56"/>
    </row>
    <row r="662" spans="1:9" ht="30" hidden="1">
      <c r="A662" s="14" t="s">
        <v>1024</v>
      </c>
      <c r="B662" s="16">
        <v>5041</v>
      </c>
      <c r="C662" s="14" t="s">
        <v>1025</v>
      </c>
      <c r="D662" s="17" t="s">
        <v>1026</v>
      </c>
      <c r="E662" s="5"/>
      <c r="F662" s="5"/>
      <c r="G662" s="5"/>
      <c r="H662" s="5"/>
      <c r="I662" s="5"/>
    </row>
    <row r="663" spans="1:9" ht="45" hidden="1">
      <c r="A663" s="14" t="s">
        <v>1027</v>
      </c>
      <c r="B663" s="16">
        <v>5042</v>
      </c>
      <c r="C663" s="14" t="s">
        <v>1028</v>
      </c>
      <c r="D663" s="17" t="s">
        <v>402</v>
      </c>
      <c r="E663" s="15" t="s">
        <v>756</v>
      </c>
      <c r="F663" s="5"/>
      <c r="G663" s="5"/>
      <c r="H663" s="5"/>
      <c r="I663" s="34"/>
    </row>
    <row r="664" spans="1:9" ht="15.75" hidden="1">
      <c r="A664" s="12" t="s">
        <v>403</v>
      </c>
      <c r="B664" s="18">
        <v>5050</v>
      </c>
      <c r="C664" s="130" t="s">
        <v>404</v>
      </c>
      <c r="D664" s="130"/>
      <c r="E664" s="5"/>
      <c r="F664" s="5"/>
      <c r="G664" s="5"/>
      <c r="H664" s="5"/>
      <c r="I664" s="5"/>
    </row>
    <row r="665" spans="1:9" ht="75" hidden="1">
      <c r="A665" s="14" t="s">
        <v>405</v>
      </c>
      <c r="B665" s="16">
        <v>5051</v>
      </c>
      <c r="C665" s="16" t="s">
        <v>406</v>
      </c>
      <c r="D665" s="15" t="s">
        <v>293</v>
      </c>
      <c r="E665" s="5"/>
      <c r="F665" s="5"/>
      <c r="G665" s="5"/>
      <c r="H665" s="5"/>
      <c r="I665" s="5"/>
    </row>
    <row r="666" spans="1:9" ht="60" hidden="1">
      <c r="A666" s="14" t="s">
        <v>294</v>
      </c>
      <c r="B666" s="16">
        <v>5053</v>
      </c>
      <c r="C666" s="14" t="s">
        <v>295</v>
      </c>
      <c r="D666" s="15" t="s">
        <v>371</v>
      </c>
      <c r="E666" s="5"/>
      <c r="F666" s="5"/>
      <c r="G666" s="5"/>
      <c r="H666" s="5"/>
      <c r="I666" s="5"/>
    </row>
    <row r="667" spans="1:9" ht="49.5" customHeight="1" hidden="1">
      <c r="A667" s="144" t="s">
        <v>435</v>
      </c>
      <c r="B667" s="144"/>
      <c r="C667" s="144"/>
      <c r="D667" s="144"/>
      <c r="E667" s="144"/>
      <c r="F667" s="37"/>
      <c r="G667" s="37"/>
      <c r="H667" s="37"/>
      <c r="I667" s="55"/>
    </row>
    <row r="668" spans="1:9" ht="38.25" customHeight="1" hidden="1">
      <c r="A668" s="12" t="s">
        <v>564</v>
      </c>
      <c r="B668" s="18">
        <v>5060</v>
      </c>
      <c r="C668" s="130" t="s">
        <v>565</v>
      </c>
      <c r="D668" s="130"/>
      <c r="E668" s="5"/>
      <c r="F668" s="5"/>
      <c r="G668" s="5"/>
      <c r="H668" s="5"/>
      <c r="I668" s="56"/>
    </row>
    <row r="669" spans="1:9" ht="75" hidden="1">
      <c r="A669" s="14" t="s">
        <v>566</v>
      </c>
      <c r="B669" s="16">
        <v>5061</v>
      </c>
      <c r="C669" s="14" t="s">
        <v>567</v>
      </c>
      <c r="D669" s="17" t="s">
        <v>1052</v>
      </c>
      <c r="E669" s="15" t="s">
        <v>756</v>
      </c>
      <c r="F669" s="5"/>
      <c r="G669" s="5"/>
      <c r="H669" s="5"/>
      <c r="I669" s="34">
        <v>495</v>
      </c>
    </row>
    <row r="670" spans="1:9" ht="39.75" customHeight="1" hidden="1">
      <c r="A670" s="147" t="s">
        <v>104</v>
      </c>
      <c r="B670" s="134"/>
      <c r="C670" s="134"/>
      <c r="D670" s="134"/>
      <c r="E670" s="135"/>
      <c r="F670" s="5"/>
      <c r="G670" s="5"/>
      <c r="H670" s="5"/>
      <c r="I670" s="55">
        <f>520-25</f>
        <v>495</v>
      </c>
    </row>
    <row r="671" spans="1:9" ht="45" hidden="1">
      <c r="A671" s="14" t="s">
        <v>1053</v>
      </c>
      <c r="B671" s="16">
        <v>5062</v>
      </c>
      <c r="C671" s="14" t="s">
        <v>1054</v>
      </c>
      <c r="D671" s="15" t="s">
        <v>798</v>
      </c>
      <c r="E671" s="5"/>
      <c r="F671" s="5"/>
      <c r="G671" s="5"/>
      <c r="H671" s="5"/>
      <c r="I671" s="5"/>
    </row>
    <row r="672" spans="1:9" ht="30" hidden="1">
      <c r="A672" s="14" t="s">
        <v>308</v>
      </c>
      <c r="B672" s="16">
        <v>5063</v>
      </c>
      <c r="C672" s="14" t="s">
        <v>940</v>
      </c>
      <c r="D672" s="17" t="s">
        <v>73</v>
      </c>
      <c r="E672" s="5"/>
      <c r="F672" s="5"/>
      <c r="G672" s="5"/>
      <c r="H672" s="5"/>
      <c r="I672" s="5"/>
    </row>
    <row r="673" spans="1:9" ht="30.75" customHeight="1" hidden="1">
      <c r="A673" s="144" t="s">
        <v>436</v>
      </c>
      <c r="B673" s="144"/>
      <c r="C673" s="144"/>
      <c r="D673" s="144"/>
      <c r="E673" s="144"/>
      <c r="F673" s="37"/>
      <c r="G673" s="37"/>
      <c r="H673" s="37"/>
      <c r="I673" s="55"/>
    </row>
    <row r="674" spans="1:9" ht="30" customHeight="1" hidden="1">
      <c r="A674" s="12">
        <v>1200000</v>
      </c>
      <c r="B674" s="155" t="s">
        <v>74</v>
      </c>
      <c r="C674" s="155"/>
      <c r="D674" s="155"/>
      <c r="E674" s="5"/>
      <c r="F674" s="5"/>
      <c r="G674" s="5"/>
      <c r="H674" s="5"/>
      <c r="I674" s="114"/>
    </row>
    <row r="675" spans="1:9" ht="27" customHeight="1" hidden="1">
      <c r="A675" s="13">
        <v>1210000</v>
      </c>
      <c r="B675" s="154" t="s">
        <v>74</v>
      </c>
      <c r="C675" s="154"/>
      <c r="D675" s="154"/>
      <c r="E675" s="5"/>
      <c r="F675" s="5"/>
      <c r="G675" s="5"/>
      <c r="H675" s="5"/>
      <c r="I675" s="115"/>
    </row>
    <row r="676" spans="1:9" ht="15.75" hidden="1">
      <c r="A676" s="18">
        <v>1216000</v>
      </c>
      <c r="B676" s="18">
        <v>6000</v>
      </c>
      <c r="C676" s="130" t="s">
        <v>75</v>
      </c>
      <c r="D676" s="130"/>
      <c r="E676" s="5"/>
      <c r="F676" s="5"/>
      <c r="G676" s="5"/>
      <c r="H676" s="5"/>
      <c r="I676" s="5"/>
    </row>
    <row r="677" spans="1:9" ht="60" hidden="1">
      <c r="A677" s="16">
        <v>1216020</v>
      </c>
      <c r="B677" s="16">
        <v>6020</v>
      </c>
      <c r="C677" s="14" t="s">
        <v>76</v>
      </c>
      <c r="D677" s="17" t="s">
        <v>77</v>
      </c>
      <c r="E677" s="5"/>
      <c r="F677" s="5"/>
      <c r="G677" s="5"/>
      <c r="H677" s="5"/>
      <c r="I677" s="5"/>
    </row>
    <row r="678" spans="1:9" ht="30" hidden="1">
      <c r="A678" s="16">
        <v>1216040</v>
      </c>
      <c r="B678" s="16">
        <v>6040</v>
      </c>
      <c r="C678" s="14" t="s">
        <v>705</v>
      </c>
      <c r="D678" s="17" t="s">
        <v>706</v>
      </c>
      <c r="E678" s="15" t="s">
        <v>756</v>
      </c>
      <c r="F678" s="5"/>
      <c r="G678" s="5"/>
      <c r="H678" s="5"/>
      <c r="I678" s="34"/>
    </row>
    <row r="679" spans="1:9" ht="33.75" customHeight="1" hidden="1">
      <c r="A679" s="147" t="s">
        <v>707</v>
      </c>
      <c r="B679" s="134"/>
      <c r="C679" s="134"/>
      <c r="D679" s="134"/>
      <c r="E679" s="135"/>
      <c r="F679" s="53"/>
      <c r="G679" s="53"/>
      <c r="H679" s="53"/>
      <c r="I679" s="55"/>
    </row>
    <row r="680" spans="1:9" ht="30" hidden="1">
      <c r="A680" s="16">
        <v>1216070</v>
      </c>
      <c r="B680" s="16">
        <v>6070</v>
      </c>
      <c r="C680" s="14"/>
      <c r="D680" s="17" t="s">
        <v>78</v>
      </c>
      <c r="E680" s="5"/>
      <c r="F680" s="5"/>
      <c r="G680" s="5"/>
      <c r="H680" s="5"/>
      <c r="I680" s="5"/>
    </row>
    <row r="681" spans="1:9" ht="285" hidden="1">
      <c r="A681" s="16">
        <v>1216072</v>
      </c>
      <c r="B681" s="16">
        <v>6072</v>
      </c>
      <c r="C681" s="14" t="s">
        <v>79</v>
      </c>
      <c r="D681" s="17" t="s">
        <v>605</v>
      </c>
      <c r="E681" s="5"/>
      <c r="F681" s="5"/>
      <c r="G681" s="5"/>
      <c r="H681" s="5"/>
      <c r="I681" s="5"/>
    </row>
    <row r="682" spans="1:9" ht="15.75" hidden="1">
      <c r="A682" s="18">
        <v>1217300</v>
      </c>
      <c r="B682" s="18">
        <v>7300</v>
      </c>
      <c r="C682" s="151" t="s">
        <v>580</v>
      </c>
      <c r="D682" s="151"/>
      <c r="E682" s="5"/>
      <c r="F682" s="5"/>
      <c r="G682" s="5"/>
      <c r="H682" s="5"/>
      <c r="I682" s="35"/>
    </row>
    <row r="683" spans="1:9" ht="50.25" hidden="1">
      <c r="A683" s="14">
        <v>1217330</v>
      </c>
      <c r="B683" s="16">
        <v>7330</v>
      </c>
      <c r="C683" s="14" t="s">
        <v>635</v>
      </c>
      <c r="D683" s="17" t="s">
        <v>608</v>
      </c>
      <c r="E683" s="15"/>
      <c r="F683" s="5"/>
      <c r="G683" s="5"/>
      <c r="H683" s="5"/>
      <c r="I683" s="60">
        <v>807.50287</v>
      </c>
    </row>
    <row r="684" spans="1:9" ht="53.25" customHeight="1" hidden="1">
      <c r="A684" s="144" t="s">
        <v>538</v>
      </c>
      <c r="B684" s="144"/>
      <c r="C684" s="144"/>
      <c r="D684" s="144"/>
      <c r="E684" s="144"/>
      <c r="F684" s="5"/>
      <c r="G684" s="5"/>
      <c r="H684" s="5"/>
      <c r="I684" s="59"/>
    </row>
    <row r="685" spans="1:9" ht="33.75" customHeight="1" hidden="1">
      <c r="A685" s="147" t="s">
        <v>290</v>
      </c>
      <c r="B685" s="134"/>
      <c r="C685" s="134"/>
      <c r="D685" s="134"/>
      <c r="E685" s="135"/>
      <c r="F685" s="5"/>
      <c r="G685" s="5"/>
      <c r="H685" s="5"/>
      <c r="I685" s="55">
        <v>559.69</v>
      </c>
    </row>
    <row r="686" spans="1:9" ht="15.75" hidden="1">
      <c r="A686" s="144" t="s">
        <v>898</v>
      </c>
      <c r="B686" s="144"/>
      <c r="C686" s="144"/>
      <c r="D686" s="144"/>
      <c r="E686" s="144"/>
      <c r="F686" s="5"/>
      <c r="G686" s="5"/>
      <c r="H686" s="5"/>
      <c r="I686" s="59"/>
    </row>
    <row r="687" spans="1:9" ht="58.5" customHeight="1" hidden="1">
      <c r="A687" s="14" t="s">
        <v>43</v>
      </c>
      <c r="B687" s="16">
        <v>7363</v>
      </c>
      <c r="C687" s="14" t="s">
        <v>936</v>
      </c>
      <c r="D687" s="17" t="s">
        <v>952</v>
      </c>
      <c r="E687" s="15" t="s">
        <v>756</v>
      </c>
      <c r="F687" s="5"/>
      <c r="G687" s="5"/>
      <c r="H687" s="5"/>
      <c r="I687" s="34">
        <v>31751</v>
      </c>
    </row>
    <row r="688" spans="1:9" ht="15" hidden="1">
      <c r="A688" s="147" t="s">
        <v>825</v>
      </c>
      <c r="B688" s="134"/>
      <c r="C688" s="134"/>
      <c r="D688" s="134"/>
      <c r="E688" s="135"/>
      <c r="F688" s="37"/>
      <c r="G688" s="37"/>
      <c r="H688" s="37"/>
      <c r="I688" s="58">
        <v>30000</v>
      </c>
    </row>
    <row r="689" spans="1:9" ht="15" hidden="1">
      <c r="A689" s="147" t="s">
        <v>826</v>
      </c>
      <c r="B689" s="134"/>
      <c r="C689" s="134"/>
      <c r="D689" s="134"/>
      <c r="E689" s="135"/>
      <c r="F689" s="37"/>
      <c r="G689" s="37"/>
      <c r="H689" s="37"/>
      <c r="I689" s="58">
        <f>1700+51</f>
        <v>1751</v>
      </c>
    </row>
    <row r="690" spans="1:9" ht="15.75" hidden="1">
      <c r="A690" s="18">
        <v>1217400</v>
      </c>
      <c r="B690" s="18">
        <v>7400</v>
      </c>
      <c r="C690" s="151" t="s">
        <v>376</v>
      </c>
      <c r="D690" s="151"/>
      <c r="E690" s="5"/>
      <c r="F690" s="5"/>
      <c r="G690" s="5"/>
      <c r="H690" s="5"/>
      <c r="I690" s="5"/>
    </row>
    <row r="691" spans="1:9" ht="31.5" hidden="1">
      <c r="A691" s="16">
        <v>1217440</v>
      </c>
      <c r="B691" s="16">
        <v>7440</v>
      </c>
      <c r="C691" s="14" t="s">
        <v>377</v>
      </c>
      <c r="D691" s="28" t="s">
        <v>378</v>
      </c>
      <c r="E691" s="5"/>
      <c r="F691" s="5"/>
      <c r="G691" s="5"/>
      <c r="H691" s="5"/>
      <c r="I691" s="5"/>
    </row>
    <row r="692" spans="1:9" ht="30" hidden="1">
      <c r="A692" s="16">
        <v>1217460</v>
      </c>
      <c r="B692" s="16">
        <v>7460</v>
      </c>
      <c r="C692" s="14"/>
      <c r="D692" s="17" t="s">
        <v>170</v>
      </c>
      <c r="E692" s="5"/>
      <c r="F692" s="5"/>
      <c r="G692" s="5"/>
      <c r="H692" s="5"/>
      <c r="I692" s="5"/>
    </row>
    <row r="693" spans="1:9" ht="60" hidden="1">
      <c r="A693" s="21">
        <v>1217461</v>
      </c>
      <c r="B693" s="21">
        <v>7461</v>
      </c>
      <c r="C693" s="19" t="s">
        <v>377</v>
      </c>
      <c r="D693" s="30" t="s">
        <v>171</v>
      </c>
      <c r="E693" s="5"/>
      <c r="F693" s="5"/>
      <c r="G693" s="5"/>
      <c r="H693" s="5"/>
      <c r="I693" s="5"/>
    </row>
    <row r="694" spans="1:9" ht="75" hidden="1">
      <c r="A694" s="21">
        <v>1217462</v>
      </c>
      <c r="B694" s="21">
        <v>7462</v>
      </c>
      <c r="C694" s="19" t="s">
        <v>377</v>
      </c>
      <c r="D694" s="30" t="s">
        <v>526</v>
      </c>
      <c r="E694" s="5"/>
      <c r="F694" s="5"/>
      <c r="G694" s="5"/>
      <c r="H694" s="5"/>
      <c r="I694" s="5"/>
    </row>
    <row r="695" spans="1:9" ht="90" hidden="1">
      <c r="A695" s="21">
        <v>1217463</v>
      </c>
      <c r="B695" s="21">
        <v>7463</v>
      </c>
      <c r="C695" s="19" t="s">
        <v>377</v>
      </c>
      <c r="D695" s="30" t="s">
        <v>232</v>
      </c>
      <c r="E695" s="5"/>
      <c r="F695" s="5"/>
      <c r="G695" s="5"/>
      <c r="H695" s="5"/>
      <c r="I695" s="34"/>
    </row>
    <row r="696" spans="1:9" ht="15" hidden="1">
      <c r="A696" s="147" t="s">
        <v>469</v>
      </c>
      <c r="B696" s="134"/>
      <c r="C696" s="134"/>
      <c r="D696" s="134"/>
      <c r="E696" s="135"/>
      <c r="F696" s="37"/>
      <c r="G696" s="37"/>
      <c r="H696" s="37"/>
      <c r="I696" s="58"/>
    </row>
    <row r="697" spans="1:9" ht="90" hidden="1">
      <c r="A697" s="21">
        <v>1217464</v>
      </c>
      <c r="B697" s="21">
        <v>7464</v>
      </c>
      <c r="C697" s="19" t="s">
        <v>377</v>
      </c>
      <c r="D697" s="20" t="s">
        <v>233</v>
      </c>
      <c r="E697" s="5"/>
      <c r="F697" s="5"/>
      <c r="G697" s="5"/>
      <c r="H697" s="5"/>
      <c r="I697" s="5"/>
    </row>
    <row r="698" spans="1:9" ht="39" customHeight="1" hidden="1">
      <c r="A698" s="18">
        <v>1217600</v>
      </c>
      <c r="B698" s="18">
        <v>7600</v>
      </c>
      <c r="C698" s="151" t="s">
        <v>280</v>
      </c>
      <c r="D698" s="151"/>
      <c r="E698" s="5"/>
      <c r="F698" s="5"/>
      <c r="G698" s="5"/>
      <c r="H698" s="5"/>
      <c r="I698" s="96"/>
    </row>
    <row r="699" spans="1:9" ht="30" hidden="1">
      <c r="A699" s="14">
        <v>1217640</v>
      </c>
      <c r="B699" s="16">
        <v>7640</v>
      </c>
      <c r="C699" s="14" t="s">
        <v>234</v>
      </c>
      <c r="D699" s="17" t="s">
        <v>16</v>
      </c>
      <c r="E699" s="15"/>
      <c r="F699" s="5"/>
      <c r="G699" s="5"/>
      <c r="H699" s="5"/>
      <c r="I699" s="60">
        <v>172.76015</v>
      </c>
    </row>
    <row r="700" spans="1:9" ht="36.75" customHeight="1" hidden="1">
      <c r="A700" s="144" t="s">
        <v>177</v>
      </c>
      <c r="B700" s="144"/>
      <c r="C700" s="144"/>
      <c r="D700" s="144"/>
      <c r="E700" s="144"/>
      <c r="F700" s="61"/>
      <c r="G700" s="61"/>
      <c r="H700" s="61"/>
      <c r="I700" s="59">
        <f>250-77.23985</f>
        <v>172.76015</v>
      </c>
    </row>
    <row r="701" spans="1:9" ht="18.75" customHeight="1" hidden="1">
      <c r="A701" s="185"/>
      <c r="B701" s="185"/>
      <c r="C701" s="185"/>
      <c r="D701" s="185"/>
      <c r="E701" s="185"/>
      <c r="F701" s="5"/>
      <c r="G701" s="5"/>
      <c r="H701" s="5"/>
      <c r="I701" s="59"/>
    </row>
    <row r="702" spans="1:9" ht="30" hidden="1">
      <c r="A702" s="16">
        <v>1217670</v>
      </c>
      <c r="B702" s="16">
        <v>7670</v>
      </c>
      <c r="C702" s="14" t="s">
        <v>17</v>
      </c>
      <c r="D702" s="15" t="s">
        <v>909</v>
      </c>
      <c r="E702" s="5"/>
      <c r="F702" s="5"/>
      <c r="G702" s="5"/>
      <c r="H702" s="5"/>
      <c r="I702" s="5"/>
    </row>
    <row r="703" spans="1:9" ht="30" hidden="1">
      <c r="A703" s="16">
        <v>1217693</v>
      </c>
      <c r="B703" s="16">
        <v>7693</v>
      </c>
      <c r="C703" s="14" t="s">
        <v>936</v>
      </c>
      <c r="D703" s="67" t="s">
        <v>288</v>
      </c>
      <c r="E703" s="15" t="s">
        <v>756</v>
      </c>
      <c r="F703" s="16"/>
      <c r="G703" s="16"/>
      <c r="H703" s="16"/>
      <c r="I703" s="62">
        <v>900</v>
      </c>
    </row>
    <row r="704" spans="1:9" ht="15.75" hidden="1">
      <c r="A704" s="144"/>
      <c r="B704" s="144"/>
      <c r="C704" s="144"/>
      <c r="D704" s="144"/>
      <c r="E704" s="144"/>
      <c r="F704" s="61"/>
      <c r="G704" s="61"/>
      <c r="H704" s="61"/>
      <c r="I704" s="55">
        <v>900</v>
      </c>
    </row>
    <row r="705" spans="1:9" ht="45" hidden="1">
      <c r="A705" s="16">
        <v>1218110</v>
      </c>
      <c r="B705" s="16">
        <v>8110</v>
      </c>
      <c r="C705" s="14" t="s">
        <v>179</v>
      </c>
      <c r="D705" s="17" t="s">
        <v>779</v>
      </c>
      <c r="E705" s="34" t="s">
        <v>756</v>
      </c>
      <c r="F705" s="34"/>
      <c r="G705" s="34"/>
      <c r="H705" s="34"/>
      <c r="I705" s="34">
        <v>485</v>
      </c>
    </row>
    <row r="706" spans="1:9" ht="29.25" customHeight="1" hidden="1">
      <c r="A706" s="147" t="s">
        <v>51</v>
      </c>
      <c r="B706" s="134"/>
      <c r="C706" s="134"/>
      <c r="D706" s="134"/>
      <c r="E706" s="135"/>
      <c r="F706" s="37"/>
      <c r="G706" s="37"/>
      <c r="H706" s="37"/>
      <c r="I706" s="58">
        <v>485</v>
      </c>
    </row>
    <row r="707" spans="1:9" ht="29.25" customHeight="1" hidden="1">
      <c r="A707" s="18">
        <v>1218300</v>
      </c>
      <c r="B707" s="18">
        <v>8300</v>
      </c>
      <c r="C707" s="130" t="s">
        <v>842</v>
      </c>
      <c r="D707" s="130"/>
      <c r="E707" s="5"/>
      <c r="F707" s="5"/>
      <c r="G707" s="5"/>
      <c r="H707" s="5"/>
      <c r="I707" s="5"/>
    </row>
    <row r="708" spans="1:9" ht="30" hidden="1">
      <c r="A708" s="16">
        <v>1218313</v>
      </c>
      <c r="B708" s="16">
        <v>8313</v>
      </c>
      <c r="C708" s="14" t="s">
        <v>910</v>
      </c>
      <c r="D708" s="15" t="s">
        <v>911</v>
      </c>
      <c r="E708" s="5"/>
      <c r="F708" s="5"/>
      <c r="G708" s="5"/>
      <c r="H708" s="5"/>
      <c r="I708" s="5"/>
    </row>
    <row r="709" spans="1:9" ht="30" hidden="1">
      <c r="A709" s="16">
        <v>1218340</v>
      </c>
      <c r="B709" s="16">
        <v>8340</v>
      </c>
      <c r="C709" s="14" t="s">
        <v>943</v>
      </c>
      <c r="D709" s="17" t="s">
        <v>632</v>
      </c>
      <c r="E709" s="5"/>
      <c r="F709" s="5"/>
      <c r="G709" s="5"/>
      <c r="H709" s="5"/>
      <c r="I709" s="5"/>
    </row>
    <row r="710" spans="1:9" ht="33" customHeight="1">
      <c r="A710" s="12">
        <v>1500000</v>
      </c>
      <c r="B710" s="155" t="s">
        <v>256</v>
      </c>
      <c r="C710" s="155"/>
      <c r="D710" s="155"/>
      <c r="E710" s="5"/>
      <c r="F710" s="5"/>
      <c r="G710" s="5"/>
      <c r="H710" s="5"/>
      <c r="I710" s="203">
        <f>I711</f>
        <v>8873.5</v>
      </c>
    </row>
    <row r="711" spans="1:9" s="102" customFormat="1" ht="30" customHeight="1">
      <c r="A711" s="13">
        <v>1510000</v>
      </c>
      <c r="B711" s="154" t="s">
        <v>256</v>
      </c>
      <c r="C711" s="154"/>
      <c r="D711" s="154"/>
      <c r="E711" s="42"/>
      <c r="F711" s="42"/>
      <c r="G711" s="42"/>
      <c r="H711" s="42"/>
      <c r="I711" s="204">
        <f>I811</f>
        <v>8873.5</v>
      </c>
    </row>
    <row r="712" spans="1:9" ht="18.75" customHeight="1" hidden="1">
      <c r="A712" s="18">
        <v>1517300</v>
      </c>
      <c r="B712" s="18">
        <v>7300</v>
      </c>
      <c r="C712" s="151" t="s">
        <v>580</v>
      </c>
      <c r="D712" s="151"/>
      <c r="E712" s="5"/>
      <c r="F712" s="5"/>
      <c r="G712" s="5"/>
      <c r="H712" s="5"/>
      <c r="I712" s="50"/>
    </row>
    <row r="713" spans="1:9" ht="33" hidden="1">
      <c r="A713" s="16">
        <v>1517310</v>
      </c>
      <c r="B713" s="16">
        <v>7310</v>
      </c>
      <c r="C713" s="14" t="s">
        <v>468</v>
      </c>
      <c r="D713" s="17" t="s">
        <v>105</v>
      </c>
      <c r="E713" s="5"/>
      <c r="F713" s="5"/>
      <c r="G713" s="5"/>
      <c r="H713" s="5"/>
      <c r="I713" s="5"/>
    </row>
    <row r="714" spans="1:9" ht="30" hidden="1">
      <c r="A714" s="16">
        <v>1517320</v>
      </c>
      <c r="B714" s="16">
        <v>7320</v>
      </c>
      <c r="C714" s="14" t="s">
        <v>582</v>
      </c>
      <c r="D714" s="17" t="s">
        <v>106</v>
      </c>
      <c r="E714" s="5"/>
      <c r="F714" s="5"/>
      <c r="G714" s="5"/>
      <c r="H714" s="5"/>
      <c r="I714" s="56"/>
    </row>
    <row r="715" spans="1:12" ht="25.5" customHeight="1" hidden="1">
      <c r="A715" s="16">
        <v>1517321</v>
      </c>
      <c r="B715" s="16">
        <v>7321</v>
      </c>
      <c r="C715" s="14" t="s">
        <v>582</v>
      </c>
      <c r="D715" s="67" t="s">
        <v>593</v>
      </c>
      <c r="E715" s="5"/>
      <c r="F715" s="5"/>
      <c r="G715" s="5"/>
      <c r="H715" s="5"/>
      <c r="I715" s="34">
        <v>16165.28</v>
      </c>
      <c r="L715" s="100" t="e">
        <f>#REF!+#REF!+#REF!+#REF!</f>
        <v>#REF!</v>
      </c>
    </row>
    <row r="716" spans="1:9" ht="50.25" customHeight="1" hidden="1">
      <c r="A716" s="159" t="s">
        <v>986</v>
      </c>
      <c r="B716" s="159"/>
      <c r="C716" s="159"/>
      <c r="D716" s="159"/>
      <c r="E716" s="159"/>
      <c r="F716" s="5"/>
      <c r="G716" s="5"/>
      <c r="H716" s="5"/>
      <c r="I716" s="55">
        <v>2200</v>
      </c>
    </row>
    <row r="717" spans="1:9" ht="47.25" customHeight="1" hidden="1">
      <c r="A717" s="159" t="s">
        <v>987</v>
      </c>
      <c r="B717" s="159"/>
      <c r="C717" s="159"/>
      <c r="D717" s="159"/>
      <c r="E717" s="159"/>
      <c r="F717" s="5"/>
      <c r="G717" s="5"/>
      <c r="H717" s="5"/>
      <c r="I717" s="55">
        <v>1000</v>
      </c>
    </row>
    <row r="718" spans="1:9" ht="45.75" customHeight="1" hidden="1">
      <c r="A718" s="159" t="s">
        <v>813</v>
      </c>
      <c r="B718" s="159"/>
      <c r="C718" s="159"/>
      <c r="D718" s="159"/>
      <c r="E718" s="159"/>
      <c r="F718" s="5"/>
      <c r="G718" s="5"/>
      <c r="H718" s="5"/>
      <c r="I718" s="55">
        <v>1000</v>
      </c>
    </row>
    <row r="719" spans="1:9" ht="39.75" customHeight="1" hidden="1">
      <c r="A719" s="159" t="s">
        <v>702</v>
      </c>
      <c r="B719" s="159"/>
      <c r="C719" s="159"/>
      <c r="D719" s="159"/>
      <c r="E719" s="159"/>
      <c r="F719" s="5"/>
      <c r="G719" s="5"/>
      <c r="H719" s="5"/>
      <c r="I719" s="55">
        <v>2200</v>
      </c>
    </row>
    <row r="720" spans="1:9" ht="39.75" customHeight="1" hidden="1">
      <c r="A720" s="159" t="s">
        <v>1072</v>
      </c>
      <c r="B720" s="159"/>
      <c r="C720" s="159"/>
      <c r="D720" s="159"/>
      <c r="E720" s="159"/>
      <c r="F720" s="5"/>
      <c r="G720" s="5"/>
      <c r="H720" s="5"/>
      <c r="I720" s="55">
        <v>2000</v>
      </c>
    </row>
    <row r="721" spans="1:9" ht="37.5" customHeight="1" hidden="1">
      <c r="A721" s="159" t="s">
        <v>597</v>
      </c>
      <c r="B721" s="159"/>
      <c r="C721" s="159"/>
      <c r="D721" s="159"/>
      <c r="E721" s="159"/>
      <c r="F721" s="5"/>
      <c r="G721" s="5"/>
      <c r="H721" s="5"/>
      <c r="I721" s="55">
        <f>30</f>
        <v>30</v>
      </c>
    </row>
    <row r="722" spans="1:9" ht="37.5" customHeight="1" hidden="1">
      <c r="A722" s="139" t="s">
        <v>771</v>
      </c>
      <c r="B722" s="139"/>
      <c r="C722" s="139"/>
      <c r="D722" s="139"/>
      <c r="E722" s="139"/>
      <c r="F722" s="42"/>
      <c r="G722" s="42"/>
      <c r="H722" s="42"/>
      <c r="I722" s="34">
        <v>4899.6</v>
      </c>
    </row>
    <row r="723" spans="1:9" ht="25.5" customHeight="1" hidden="1">
      <c r="A723" s="159" t="s">
        <v>46</v>
      </c>
      <c r="B723" s="159"/>
      <c r="C723" s="159"/>
      <c r="D723" s="159"/>
      <c r="E723" s="159"/>
      <c r="F723" s="5"/>
      <c r="G723" s="5"/>
      <c r="H723" s="5"/>
      <c r="I723" s="55">
        <f>296-0.32</f>
        <v>295.68</v>
      </c>
    </row>
    <row r="724" spans="1:9" ht="25.5" customHeight="1" hidden="1">
      <c r="A724" s="182"/>
      <c r="B724" s="183"/>
      <c r="C724" s="183"/>
      <c r="D724" s="183"/>
      <c r="E724" s="184"/>
      <c r="F724" s="5"/>
      <c r="G724" s="5"/>
      <c r="H724" s="5"/>
      <c r="I724" s="55"/>
    </row>
    <row r="725" spans="1:9" ht="51" customHeight="1" hidden="1">
      <c r="A725" s="159" t="s">
        <v>22</v>
      </c>
      <c r="B725" s="159"/>
      <c r="C725" s="159"/>
      <c r="D725" s="159"/>
      <c r="E725" s="159"/>
      <c r="F725" s="5"/>
      <c r="G725" s="5"/>
      <c r="H725" s="5"/>
      <c r="I725" s="55">
        <v>60</v>
      </c>
    </row>
    <row r="726" spans="1:9" ht="15.75" hidden="1">
      <c r="A726" s="144" t="s">
        <v>778</v>
      </c>
      <c r="B726" s="144"/>
      <c r="C726" s="144"/>
      <c r="D726" s="144"/>
      <c r="E726" s="144"/>
      <c r="F726" s="5"/>
      <c r="G726" s="5"/>
      <c r="H726" s="5"/>
      <c r="I726" s="55">
        <v>0</v>
      </c>
    </row>
    <row r="727" spans="1:9" ht="30.75" customHeight="1" hidden="1">
      <c r="A727" s="144" t="s">
        <v>666</v>
      </c>
      <c r="B727" s="144"/>
      <c r="C727" s="144"/>
      <c r="D727" s="144"/>
      <c r="E727" s="144"/>
      <c r="F727" s="5"/>
      <c r="G727" s="5"/>
      <c r="H727" s="5"/>
      <c r="I727" s="55">
        <v>0</v>
      </c>
    </row>
    <row r="728" spans="1:9" ht="41.25" customHeight="1" hidden="1">
      <c r="A728" s="144" t="s">
        <v>899</v>
      </c>
      <c r="B728" s="144"/>
      <c r="C728" s="144"/>
      <c r="D728" s="144"/>
      <c r="E728" s="144"/>
      <c r="F728" s="61"/>
      <c r="G728" s="61"/>
      <c r="H728" s="61"/>
      <c r="I728" s="55">
        <f>1640+870</f>
        <v>2510</v>
      </c>
    </row>
    <row r="729" spans="1:9" ht="33" hidden="1">
      <c r="A729" s="16">
        <v>1517322</v>
      </c>
      <c r="B729" s="16">
        <v>7322</v>
      </c>
      <c r="C729" s="14" t="s">
        <v>582</v>
      </c>
      <c r="D729" s="67" t="s">
        <v>594</v>
      </c>
      <c r="E729" s="15" t="s">
        <v>756</v>
      </c>
      <c r="F729" s="16"/>
      <c r="G729" s="16"/>
      <c r="H729" s="16"/>
      <c r="I729" s="62">
        <v>25095.26</v>
      </c>
    </row>
    <row r="730" spans="1:9" ht="15.75" hidden="1">
      <c r="A730" s="144" t="s">
        <v>530</v>
      </c>
      <c r="B730" s="144"/>
      <c r="C730" s="144"/>
      <c r="D730" s="144"/>
      <c r="E730" s="144"/>
      <c r="F730" s="16"/>
      <c r="G730" s="16"/>
      <c r="H730" s="16"/>
      <c r="I730" s="55">
        <v>0</v>
      </c>
    </row>
    <row r="731" spans="1:9" ht="33" customHeight="1" hidden="1">
      <c r="A731" s="144" t="s">
        <v>220</v>
      </c>
      <c r="B731" s="144"/>
      <c r="C731" s="144"/>
      <c r="D731" s="144"/>
      <c r="E731" s="144"/>
      <c r="F731" s="16"/>
      <c r="G731" s="16"/>
      <c r="H731" s="16"/>
      <c r="I731" s="55"/>
    </row>
    <row r="732" spans="1:9" ht="15.75" hidden="1">
      <c r="A732" s="144" t="s">
        <v>590</v>
      </c>
      <c r="B732" s="144"/>
      <c r="C732" s="144"/>
      <c r="D732" s="144"/>
      <c r="E732" s="144"/>
      <c r="F732" s="16"/>
      <c r="G732" s="16"/>
      <c r="H732" s="16"/>
      <c r="I732" s="55">
        <v>0</v>
      </c>
    </row>
    <row r="733" spans="1:9" ht="30" customHeight="1" hidden="1">
      <c r="A733" s="144" t="s">
        <v>591</v>
      </c>
      <c r="B733" s="144"/>
      <c r="C733" s="144"/>
      <c r="D733" s="144"/>
      <c r="E733" s="144"/>
      <c r="F733" s="16"/>
      <c r="G733" s="16"/>
      <c r="H733" s="16"/>
      <c r="I733" s="55">
        <v>0</v>
      </c>
    </row>
    <row r="734" spans="1:9" ht="30.75" customHeight="1" hidden="1">
      <c r="A734" s="144" t="s">
        <v>35</v>
      </c>
      <c r="B734" s="144"/>
      <c r="C734" s="144"/>
      <c r="D734" s="144"/>
      <c r="E734" s="144"/>
      <c r="F734" s="16"/>
      <c r="G734" s="16"/>
      <c r="H734" s="16"/>
      <c r="I734" s="55">
        <v>0</v>
      </c>
    </row>
    <row r="735" spans="1:9" ht="15.75" hidden="1">
      <c r="A735" s="144" t="s">
        <v>600</v>
      </c>
      <c r="B735" s="144"/>
      <c r="C735" s="144"/>
      <c r="D735" s="144"/>
      <c r="E735" s="144"/>
      <c r="F735" s="16"/>
      <c r="G735" s="16"/>
      <c r="H735" s="16"/>
      <c r="I735" s="55">
        <v>0</v>
      </c>
    </row>
    <row r="736" spans="1:9" ht="29.25" customHeight="1" hidden="1">
      <c r="A736" s="144" t="s">
        <v>471</v>
      </c>
      <c r="B736" s="144"/>
      <c r="C736" s="144"/>
      <c r="D736" s="144"/>
      <c r="E736" s="144"/>
      <c r="F736" s="16"/>
      <c r="G736" s="16"/>
      <c r="H736" s="16"/>
      <c r="I736" s="55">
        <v>0</v>
      </c>
    </row>
    <row r="737" spans="1:9" ht="15.75" hidden="1">
      <c r="A737" s="144" t="s">
        <v>159</v>
      </c>
      <c r="B737" s="144"/>
      <c r="C737" s="144"/>
      <c r="D737" s="144"/>
      <c r="E737" s="144"/>
      <c r="F737" s="16"/>
      <c r="G737" s="16"/>
      <c r="H737" s="16"/>
      <c r="I737" s="55">
        <v>0</v>
      </c>
    </row>
    <row r="738" spans="1:9" ht="30.75" customHeight="1" hidden="1">
      <c r="A738" s="144" t="s">
        <v>819</v>
      </c>
      <c r="B738" s="144"/>
      <c r="C738" s="144"/>
      <c r="D738" s="144"/>
      <c r="E738" s="144"/>
      <c r="F738" s="16"/>
      <c r="G738" s="16"/>
      <c r="H738" s="16"/>
      <c r="I738" s="55">
        <v>0</v>
      </c>
    </row>
    <row r="739" spans="1:9" ht="15.75" hidden="1">
      <c r="A739" s="144" t="s">
        <v>822</v>
      </c>
      <c r="B739" s="144"/>
      <c r="C739" s="144"/>
      <c r="D739" s="144"/>
      <c r="E739" s="144"/>
      <c r="F739" s="16"/>
      <c r="G739" s="16"/>
      <c r="H739" s="16"/>
      <c r="I739" s="55">
        <v>0</v>
      </c>
    </row>
    <row r="740" spans="1:9" ht="30" customHeight="1" hidden="1">
      <c r="A740" s="144" t="s">
        <v>697</v>
      </c>
      <c r="B740" s="144"/>
      <c r="C740" s="144"/>
      <c r="D740" s="144"/>
      <c r="E740" s="144"/>
      <c r="F740" s="16"/>
      <c r="G740" s="16"/>
      <c r="H740" s="16"/>
      <c r="I740" s="55">
        <v>0</v>
      </c>
    </row>
    <row r="741" spans="1:9" ht="15.75" hidden="1">
      <c r="A741" s="144" t="s">
        <v>507</v>
      </c>
      <c r="B741" s="144"/>
      <c r="C741" s="144"/>
      <c r="D741" s="144"/>
      <c r="E741" s="144"/>
      <c r="F741" s="16"/>
      <c r="G741" s="16"/>
      <c r="H741" s="16"/>
      <c r="I741" s="55">
        <v>0</v>
      </c>
    </row>
    <row r="742" spans="1:9" ht="15.75" hidden="1">
      <c r="A742" s="144" t="s">
        <v>344</v>
      </c>
      <c r="B742" s="144"/>
      <c r="C742" s="144"/>
      <c r="D742" s="144"/>
      <c r="E742" s="144"/>
      <c r="F742" s="16"/>
      <c r="G742" s="16"/>
      <c r="H742" s="16"/>
      <c r="I742" s="55">
        <v>0</v>
      </c>
    </row>
    <row r="743" spans="1:9" ht="30" customHeight="1" hidden="1">
      <c r="A743" s="144" t="s">
        <v>113</v>
      </c>
      <c r="B743" s="144"/>
      <c r="C743" s="144"/>
      <c r="D743" s="144"/>
      <c r="E743" s="144"/>
      <c r="F743" s="16"/>
      <c r="G743" s="16"/>
      <c r="H743" s="16"/>
      <c r="I743" s="55">
        <v>0</v>
      </c>
    </row>
    <row r="744" spans="1:9" ht="18" customHeight="1" hidden="1">
      <c r="A744" s="144" t="s">
        <v>114</v>
      </c>
      <c r="B744" s="144"/>
      <c r="C744" s="144"/>
      <c r="D744" s="144"/>
      <c r="E744" s="144"/>
      <c r="F744" s="16"/>
      <c r="G744" s="16"/>
      <c r="H744" s="16"/>
      <c r="I744" s="55">
        <v>0</v>
      </c>
    </row>
    <row r="745" spans="1:9" ht="18" customHeight="1" hidden="1">
      <c r="A745" s="144" t="s">
        <v>649</v>
      </c>
      <c r="B745" s="144"/>
      <c r="C745" s="144"/>
      <c r="D745" s="144"/>
      <c r="E745" s="144"/>
      <c r="F745" s="16"/>
      <c r="G745" s="16"/>
      <c r="H745" s="16"/>
      <c r="I745" s="55">
        <v>0</v>
      </c>
    </row>
    <row r="746" spans="1:9" ht="18" customHeight="1" hidden="1">
      <c r="A746" s="144" t="s">
        <v>1076</v>
      </c>
      <c r="B746" s="144"/>
      <c r="C746" s="144"/>
      <c r="D746" s="144"/>
      <c r="E746" s="144"/>
      <c r="F746" s="16"/>
      <c r="G746" s="16"/>
      <c r="H746" s="16"/>
      <c r="I746" s="55">
        <v>0</v>
      </c>
    </row>
    <row r="747" spans="1:9" ht="21.75" customHeight="1" hidden="1">
      <c r="A747" s="144" t="s">
        <v>881</v>
      </c>
      <c r="B747" s="144"/>
      <c r="C747" s="144"/>
      <c r="D747" s="144"/>
      <c r="E747" s="144"/>
      <c r="F747" s="16"/>
      <c r="G747" s="16"/>
      <c r="H747" s="16"/>
      <c r="I747" s="55">
        <v>0</v>
      </c>
    </row>
    <row r="748" spans="1:9" ht="30" customHeight="1" hidden="1">
      <c r="A748" s="144" t="s">
        <v>882</v>
      </c>
      <c r="B748" s="144"/>
      <c r="C748" s="144"/>
      <c r="D748" s="144"/>
      <c r="E748" s="144"/>
      <c r="F748" s="16"/>
      <c r="G748" s="16"/>
      <c r="H748" s="16"/>
      <c r="I748" s="55">
        <v>0</v>
      </c>
    </row>
    <row r="749" spans="1:9" ht="30" customHeight="1" hidden="1">
      <c r="A749" s="144" t="s">
        <v>459</v>
      </c>
      <c r="B749" s="144"/>
      <c r="C749" s="144"/>
      <c r="D749" s="144"/>
      <c r="E749" s="144"/>
      <c r="F749" s="16"/>
      <c r="G749" s="16"/>
      <c r="H749" s="16"/>
      <c r="I749" s="55">
        <v>0</v>
      </c>
    </row>
    <row r="750" spans="1:9" ht="30" customHeight="1" hidden="1">
      <c r="A750" s="144" t="s">
        <v>460</v>
      </c>
      <c r="B750" s="144"/>
      <c r="C750" s="144"/>
      <c r="D750" s="144"/>
      <c r="E750" s="144"/>
      <c r="F750" s="16"/>
      <c r="G750" s="16"/>
      <c r="H750" s="16"/>
      <c r="I750" s="55">
        <v>0</v>
      </c>
    </row>
    <row r="751" spans="1:9" ht="27.75" customHeight="1" hidden="1">
      <c r="A751" s="144" t="s">
        <v>461</v>
      </c>
      <c r="B751" s="144"/>
      <c r="C751" s="144"/>
      <c r="D751" s="144"/>
      <c r="E751" s="144"/>
      <c r="F751" s="16"/>
      <c r="G751" s="16"/>
      <c r="H751" s="16"/>
      <c r="I751" s="55">
        <v>0</v>
      </c>
    </row>
    <row r="752" spans="1:9" ht="18.75" customHeight="1" hidden="1">
      <c r="A752" s="144" t="s">
        <v>464</v>
      </c>
      <c r="B752" s="144"/>
      <c r="C752" s="144"/>
      <c r="D752" s="144"/>
      <c r="E752" s="144"/>
      <c r="F752" s="16"/>
      <c r="G752" s="16"/>
      <c r="H752" s="16"/>
      <c r="I752" s="55">
        <v>0</v>
      </c>
    </row>
    <row r="753" spans="1:9" ht="26.25" customHeight="1" hidden="1">
      <c r="A753" s="144" t="s">
        <v>465</v>
      </c>
      <c r="B753" s="144"/>
      <c r="C753" s="144"/>
      <c r="D753" s="144"/>
      <c r="E753" s="144"/>
      <c r="F753" s="16"/>
      <c r="G753" s="16"/>
      <c r="H753" s="16"/>
      <c r="I753" s="55">
        <v>0</v>
      </c>
    </row>
    <row r="754" spans="1:9" ht="32.25" customHeight="1" hidden="1">
      <c r="A754" s="144" t="s">
        <v>805</v>
      </c>
      <c r="B754" s="144"/>
      <c r="C754" s="144"/>
      <c r="D754" s="144"/>
      <c r="E754" s="144"/>
      <c r="F754" s="16"/>
      <c r="G754" s="16"/>
      <c r="H754" s="16"/>
      <c r="I754" s="55">
        <v>0</v>
      </c>
    </row>
    <row r="755" spans="1:9" ht="33" customHeight="1" hidden="1">
      <c r="A755" s="144" t="s">
        <v>728</v>
      </c>
      <c r="B755" s="144"/>
      <c r="C755" s="144"/>
      <c r="D755" s="144"/>
      <c r="E755" s="144"/>
      <c r="F755" s="16"/>
      <c r="G755" s="16"/>
      <c r="H755" s="16"/>
      <c r="I755" s="55">
        <v>0</v>
      </c>
    </row>
    <row r="756" spans="1:9" ht="30" customHeight="1" hidden="1">
      <c r="A756" s="144" t="s">
        <v>319</v>
      </c>
      <c r="B756" s="144"/>
      <c r="C756" s="144"/>
      <c r="D756" s="144"/>
      <c r="E756" s="144"/>
      <c r="F756" s="16"/>
      <c r="G756" s="16"/>
      <c r="H756" s="16"/>
      <c r="I756" s="55">
        <v>0</v>
      </c>
    </row>
    <row r="757" spans="1:9" ht="31.5" customHeight="1" hidden="1">
      <c r="A757" s="144" t="s">
        <v>967</v>
      </c>
      <c r="B757" s="144"/>
      <c r="C757" s="144"/>
      <c r="D757" s="144"/>
      <c r="E757" s="144"/>
      <c r="F757" s="16"/>
      <c r="G757" s="16"/>
      <c r="H757" s="16"/>
      <c r="I757" s="55">
        <v>0</v>
      </c>
    </row>
    <row r="758" spans="1:9" ht="15.75" hidden="1">
      <c r="A758" s="144" t="s">
        <v>907</v>
      </c>
      <c r="B758" s="144"/>
      <c r="C758" s="144"/>
      <c r="D758" s="144"/>
      <c r="E758" s="144"/>
      <c r="F758" s="16"/>
      <c r="G758" s="16"/>
      <c r="H758" s="16"/>
      <c r="I758" s="55">
        <v>0</v>
      </c>
    </row>
    <row r="759" spans="1:9" ht="39.75" customHeight="1" hidden="1">
      <c r="A759" s="144" t="s">
        <v>979</v>
      </c>
      <c r="B759" s="144"/>
      <c r="C759" s="144"/>
      <c r="D759" s="144"/>
      <c r="E759" s="144"/>
      <c r="F759" s="61"/>
      <c r="G759" s="61"/>
      <c r="H759" s="61"/>
      <c r="I759" s="55">
        <f>500-250-100</f>
        <v>150</v>
      </c>
    </row>
    <row r="760" spans="1:9" ht="41.25" customHeight="1" hidden="1">
      <c r="A760" s="144" t="s">
        <v>980</v>
      </c>
      <c r="B760" s="144"/>
      <c r="C760" s="144"/>
      <c r="D760" s="144"/>
      <c r="E760" s="144"/>
      <c r="F760" s="61"/>
      <c r="G760" s="61"/>
      <c r="H760" s="61"/>
      <c r="I760" s="55">
        <f>495-495</f>
        <v>0</v>
      </c>
    </row>
    <row r="761" spans="1:9" ht="39" customHeight="1" hidden="1">
      <c r="A761" s="144" t="s">
        <v>595</v>
      </c>
      <c r="B761" s="144"/>
      <c r="C761" s="144"/>
      <c r="D761" s="144"/>
      <c r="E761" s="144"/>
      <c r="F761" s="61"/>
      <c r="G761" s="61"/>
      <c r="H761" s="61"/>
      <c r="I761" s="55">
        <f>2075-150</f>
        <v>1925</v>
      </c>
    </row>
    <row r="762" spans="1:9" ht="30.75" customHeight="1" hidden="1">
      <c r="A762" s="144" t="s">
        <v>698</v>
      </c>
      <c r="B762" s="144"/>
      <c r="C762" s="144"/>
      <c r="D762" s="144"/>
      <c r="E762" s="144"/>
      <c r="F762" s="61"/>
      <c r="G762" s="61"/>
      <c r="H762" s="61"/>
      <c r="I762" s="55">
        <f>3620.5-300</f>
        <v>3320.5</v>
      </c>
    </row>
    <row r="763" spans="1:9" ht="45" customHeight="1" hidden="1">
      <c r="A763" s="144" t="s">
        <v>699</v>
      </c>
      <c r="B763" s="144"/>
      <c r="C763" s="144"/>
      <c r="D763" s="144"/>
      <c r="E763" s="144"/>
      <c r="F763" s="61"/>
      <c r="G763" s="61"/>
      <c r="H763" s="61"/>
      <c r="I763" s="55">
        <f>6358.501-200</f>
        <v>6158.501</v>
      </c>
    </row>
    <row r="764" spans="1:9" ht="37.5" customHeight="1" hidden="1">
      <c r="A764" s="144" t="s">
        <v>60</v>
      </c>
      <c r="B764" s="144"/>
      <c r="C764" s="144"/>
      <c r="D764" s="144"/>
      <c r="E764" s="144"/>
      <c r="F764" s="61"/>
      <c r="G764" s="61"/>
      <c r="H764" s="61"/>
      <c r="I764" s="55">
        <f>1036-50</f>
        <v>986</v>
      </c>
    </row>
    <row r="765" spans="1:9" ht="37.5" customHeight="1" hidden="1">
      <c r="A765" s="144" t="s">
        <v>4</v>
      </c>
      <c r="B765" s="144"/>
      <c r="C765" s="144"/>
      <c r="D765" s="144"/>
      <c r="E765" s="144"/>
      <c r="F765" s="61"/>
      <c r="G765" s="61"/>
      <c r="H765" s="61"/>
      <c r="I765" s="55"/>
    </row>
    <row r="766" spans="1:9" ht="21" customHeight="1" hidden="1">
      <c r="A766" s="144" t="s">
        <v>5</v>
      </c>
      <c r="B766" s="144"/>
      <c r="C766" s="144"/>
      <c r="D766" s="144"/>
      <c r="E766" s="144"/>
      <c r="F766" s="61"/>
      <c r="G766" s="61"/>
      <c r="H766" s="61"/>
      <c r="I766" s="55"/>
    </row>
    <row r="767" spans="1:9" ht="36" customHeight="1" hidden="1">
      <c r="A767" s="144" t="s">
        <v>6</v>
      </c>
      <c r="B767" s="144"/>
      <c r="C767" s="144"/>
      <c r="D767" s="144"/>
      <c r="E767" s="144"/>
      <c r="F767" s="61"/>
      <c r="G767" s="61"/>
      <c r="H767" s="61"/>
      <c r="I767" s="55">
        <f>70-0.74+16</f>
        <v>85.26</v>
      </c>
    </row>
    <row r="768" spans="1:9" ht="31.5" customHeight="1" hidden="1">
      <c r="A768" s="144" t="s">
        <v>7</v>
      </c>
      <c r="B768" s="144"/>
      <c r="C768" s="144"/>
      <c r="D768" s="144"/>
      <c r="E768" s="144"/>
      <c r="F768" s="61"/>
      <c r="G768" s="61"/>
      <c r="H768" s="61"/>
      <c r="I768" s="55"/>
    </row>
    <row r="769" spans="1:9" ht="33.75" customHeight="1" hidden="1">
      <c r="A769" s="144" t="s">
        <v>457</v>
      </c>
      <c r="B769" s="144"/>
      <c r="C769" s="144"/>
      <c r="D769" s="144"/>
      <c r="E769" s="144"/>
      <c r="F769" s="61"/>
      <c r="G769" s="61"/>
      <c r="H769" s="61"/>
      <c r="I769" s="55">
        <f>150-150</f>
        <v>0</v>
      </c>
    </row>
    <row r="770" spans="1:9" ht="33.75" customHeight="1" hidden="1">
      <c r="A770" s="144" t="s">
        <v>1078</v>
      </c>
      <c r="B770" s="144"/>
      <c r="C770" s="144"/>
      <c r="D770" s="144"/>
      <c r="E770" s="144"/>
      <c r="F770" s="61"/>
      <c r="G770" s="61"/>
      <c r="H770" s="61"/>
      <c r="I770" s="55">
        <f>690+50</f>
        <v>740</v>
      </c>
    </row>
    <row r="771" spans="1:9" ht="33.75" customHeight="1" hidden="1">
      <c r="A771" s="144" t="s">
        <v>1079</v>
      </c>
      <c r="B771" s="144"/>
      <c r="C771" s="144"/>
      <c r="D771" s="144"/>
      <c r="E771" s="144"/>
      <c r="F771" s="61"/>
      <c r="G771" s="61"/>
      <c r="H771" s="61"/>
      <c r="I771" s="55">
        <f>310+250+50-100</f>
        <v>510</v>
      </c>
    </row>
    <row r="772" spans="1:9" ht="33.75" customHeight="1" hidden="1">
      <c r="A772" s="144" t="s">
        <v>777</v>
      </c>
      <c r="B772" s="144"/>
      <c r="C772" s="144"/>
      <c r="D772" s="144"/>
      <c r="E772" s="144"/>
      <c r="F772" s="61"/>
      <c r="G772" s="61"/>
      <c r="H772" s="61"/>
      <c r="I772" s="55">
        <f>2691.499-146-1166-800</f>
        <v>579.4989999999998</v>
      </c>
    </row>
    <row r="773" spans="1:9" ht="33.75" customHeight="1" hidden="1">
      <c r="A773" s="147" t="s">
        <v>901</v>
      </c>
      <c r="B773" s="134"/>
      <c r="C773" s="134"/>
      <c r="D773" s="134"/>
      <c r="E773" s="135"/>
      <c r="F773" s="61"/>
      <c r="G773" s="61"/>
      <c r="H773" s="61"/>
      <c r="I773" s="55">
        <f>783+110</f>
        <v>893</v>
      </c>
    </row>
    <row r="774" spans="1:9" ht="33.75" customHeight="1" hidden="1">
      <c r="A774" s="147" t="s">
        <v>912</v>
      </c>
      <c r="B774" s="134"/>
      <c r="C774" s="134"/>
      <c r="D774" s="134"/>
      <c r="E774" s="135"/>
      <c r="F774" s="61"/>
      <c r="G774" s="61"/>
      <c r="H774" s="61"/>
      <c r="I774" s="55">
        <v>1000</v>
      </c>
    </row>
    <row r="775" spans="1:9" ht="33.75" customHeight="1" hidden="1">
      <c r="A775" s="147" t="s">
        <v>245</v>
      </c>
      <c r="B775" s="134"/>
      <c r="C775" s="134"/>
      <c r="D775" s="134"/>
      <c r="E775" s="135"/>
      <c r="F775" s="61"/>
      <c r="G775" s="61"/>
      <c r="H775" s="61"/>
      <c r="I775" s="55">
        <f>2200+200</f>
        <v>2400</v>
      </c>
    </row>
    <row r="776" spans="1:9" ht="33" hidden="1">
      <c r="A776" s="16">
        <v>1517323</v>
      </c>
      <c r="B776" s="16">
        <v>7323</v>
      </c>
      <c r="C776" s="14" t="s">
        <v>582</v>
      </c>
      <c r="D776" s="67" t="s">
        <v>814</v>
      </c>
      <c r="E776" s="5"/>
      <c r="F776" s="5"/>
      <c r="G776" s="5"/>
      <c r="H776" s="5"/>
      <c r="I776" s="34">
        <v>5620.5</v>
      </c>
    </row>
    <row r="777" spans="1:9" ht="39.75" customHeight="1" hidden="1">
      <c r="A777" s="144" t="s">
        <v>8</v>
      </c>
      <c r="B777" s="144"/>
      <c r="C777" s="144"/>
      <c r="D777" s="144"/>
      <c r="E777" s="144"/>
      <c r="F777" s="5"/>
      <c r="G777" s="5"/>
      <c r="H777" s="5"/>
      <c r="I777" s="55"/>
    </row>
    <row r="778" spans="1:9" ht="39.75" customHeight="1" hidden="1">
      <c r="A778" s="144" t="s">
        <v>489</v>
      </c>
      <c r="B778" s="144"/>
      <c r="C778" s="144"/>
      <c r="D778" s="144"/>
      <c r="E778" s="144"/>
      <c r="F778" s="5"/>
      <c r="G778" s="5"/>
      <c r="H778" s="5"/>
      <c r="I778" s="55">
        <v>16</v>
      </c>
    </row>
    <row r="779" spans="1:9" ht="27.75" customHeight="1" hidden="1">
      <c r="A779" s="144" t="s">
        <v>352</v>
      </c>
      <c r="B779" s="144"/>
      <c r="C779" s="144"/>
      <c r="D779" s="144"/>
      <c r="E779" s="144"/>
      <c r="F779" s="5"/>
      <c r="G779" s="5"/>
      <c r="H779" s="5"/>
      <c r="I779" s="55"/>
    </row>
    <row r="780" spans="1:9" ht="35.25" customHeight="1" hidden="1">
      <c r="A780" s="144" t="s">
        <v>353</v>
      </c>
      <c r="B780" s="144"/>
      <c r="C780" s="144"/>
      <c r="D780" s="144"/>
      <c r="E780" s="144"/>
      <c r="F780" s="5"/>
      <c r="G780" s="5"/>
      <c r="H780" s="5"/>
      <c r="I780" s="55">
        <f>856.9-856.9</f>
        <v>0</v>
      </c>
    </row>
    <row r="781" spans="1:9" ht="35.25" customHeight="1" hidden="1">
      <c r="A781" s="144" t="s">
        <v>1077</v>
      </c>
      <c r="B781" s="144"/>
      <c r="C781" s="144"/>
      <c r="D781" s="144"/>
      <c r="E781" s="144"/>
      <c r="F781" s="5"/>
      <c r="G781" s="5"/>
      <c r="H781" s="5"/>
      <c r="I781" s="55">
        <v>856.9</v>
      </c>
    </row>
    <row r="782" spans="1:9" ht="36" customHeight="1" hidden="1">
      <c r="A782" s="144" t="s">
        <v>677</v>
      </c>
      <c r="B782" s="144"/>
      <c r="C782" s="144"/>
      <c r="D782" s="144"/>
      <c r="E782" s="144"/>
      <c r="F782" s="5"/>
      <c r="G782" s="5"/>
      <c r="H782" s="5"/>
      <c r="I782" s="55">
        <v>0</v>
      </c>
    </row>
    <row r="783" spans="1:9" ht="33" hidden="1">
      <c r="A783" s="16">
        <v>1517324</v>
      </c>
      <c r="B783" s="16">
        <v>7324</v>
      </c>
      <c r="C783" s="14" t="s">
        <v>582</v>
      </c>
      <c r="D783" s="67" t="s">
        <v>815</v>
      </c>
      <c r="E783" s="11"/>
      <c r="F783" s="11"/>
      <c r="G783" s="11"/>
      <c r="H783" s="11"/>
      <c r="I783" s="34">
        <v>2736.5</v>
      </c>
    </row>
    <row r="784" spans="1:9" ht="48.75" customHeight="1" hidden="1">
      <c r="A784" s="144" t="s">
        <v>839</v>
      </c>
      <c r="B784" s="144"/>
      <c r="C784" s="144"/>
      <c r="D784" s="144"/>
      <c r="E784" s="144"/>
      <c r="F784" s="98"/>
      <c r="G784" s="98"/>
      <c r="H784" s="98"/>
      <c r="I784" s="55">
        <f>120-120</f>
        <v>0</v>
      </c>
    </row>
    <row r="785" spans="1:9" ht="48.75" customHeight="1" hidden="1">
      <c r="A785" s="144" t="s">
        <v>72</v>
      </c>
      <c r="B785" s="144"/>
      <c r="C785" s="144"/>
      <c r="D785" s="144"/>
      <c r="E785" s="144"/>
      <c r="F785" s="98"/>
      <c r="G785" s="98"/>
      <c r="H785" s="98"/>
      <c r="I785" s="55">
        <v>120</v>
      </c>
    </row>
    <row r="786" spans="1:9" ht="30.75" customHeight="1" hidden="1">
      <c r="A786" s="144" t="s">
        <v>1073</v>
      </c>
      <c r="B786" s="144"/>
      <c r="C786" s="144"/>
      <c r="D786" s="144"/>
      <c r="E786" s="144"/>
      <c r="F786" s="61"/>
      <c r="G786" s="61"/>
      <c r="H786" s="61"/>
      <c r="I786" s="55">
        <v>1500</v>
      </c>
    </row>
    <row r="787" spans="1:9" ht="24.75" customHeight="1" hidden="1">
      <c r="A787" s="144" t="s">
        <v>678</v>
      </c>
      <c r="B787" s="144"/>
      <c r="C787" s="144"/>
      <c r="D787" s="144"/>
      <c r="E787" s="144"/>
      <c r="F787" s="61"/>
      <c r="G787" s="61"/>
      <c r="H787" s="61"/>
      <c r="I787" s="55"/>
    </row>
    <row r="788" spans="1:9" ht="33" hidden="1">
      <c r="A788" s="16">
        <v>1517325</v>
      </c>
      <c r="B788" s="16">
        <v>7325</v>
      </c>
      <c r="C788" s="14" t="s">
        <v>582</v>
      </c>
      <c r="D788" s="67" t="s">
        <v>816</v>
      </c>
      <c r="E788" s="11"/>
      <c r="F788" s="11"/>
      <c r="G788" s="11"/>
      <c r="H788" s="11"/>
      <c r="I788" s="62"/>
    </row>
    <row r="789" spans="1:9" ht="36" customHeight="1" hidden="1">
      <c r="A789" s="144" t="s">
        <v>752</v>
      </c>
      <c r="B789" s="144"/>
      <c r="C789" s="144"/>
      <c r="D789" s="144"/>
      <c r="E789" s="144"/>
      <c r="F789" s="5"/>
      <c r="G789" s="5"/>
      <c r="H789" s="5"/>
      <c r="I789" s="55"/>
    </row>
    <row r="790" spans="1:9" ht="15.75" hidden="1">
      <c r="A790" s="144" t="s">
        <v>753</v>
      </c>
      <c r="B790" s="144"/>
      <c r="C790" s="144"/>
      <c r="D790" s="144"/>
      <c r="E790" s="144"/>
      <c r="F790" s="5"/>
      <c r="G790" s="5"/>
      <c r="H790" s="5"/>
      <c r="I790" s="55"/>
    </row>
    <row r="791" spans="1:9" ht="48" hidden="1">
      <c r="A791" s="16">
        <v>1517330</v>
      </c>
      <c r="B791" s="16">
        <v>7330</v>
      </c>
      <c r="C791" s="14" t="s">
        <v>582</v>
      </c>
      <c r="D791" s="67" t="s">
        <v>107</v>
      </c>
      <c r="E791" s="15" t="s">
        <v>756</v>
      </c>
      <c r="F791" s="18"/>
      <c r="G791" s="18"/>
      <c r="H791" s="18"/>
      <c r="I791" s="62">
        <v>9301.29</v>
      </c>
    </row>
    <row r="792" spans="1:9" ht="30.75" customHeight="1" hidden="1">
      <c r="A792" s="144" t="s">
        <v>532</v>
      </c>
      <c r="B792" s="144"/>
      <c r="C792" s="144"/>
      <c r="D792" s="144"/>
      <c r="E792" s="144"/>
      <c r="F792" s="61"/>
      <c r="G792" s="61"/>
      <c r="H792" s="61"/>
      <c r="I792" s="55">
        <f>1155+90</f>
        <v>1245</v>
      </c>
    </row>
    <row r="793" spans="1:9" ht="35.25" customHeight="1" hidden="1">
      <c r="A793" s="144" t="s">
        <v>576</v>
      </c>
      <c r="B793" s="144"/>
      <c r="C793" s="144"/>
      <c r="D793" s="144"/>
      <c r="E793" s="144"/>
      <c r="F793" s="61"/>
      <c r="G793" s="61"/>
      <c r="H793" s="61"/>
      <c r="I793" s="55">
        <f>650+25</f>
        <v>675</v>
      </c>
    </row>
    <row r="794" spans="1:9" ht="33.75" customHeight="1" hidden="1">
      <c r="A794" s="144" t="s">
        <v>47</v>
      </c>
      <c r="B794" s="144"/>
      <c r="C794" s="144"/>
      <c r="D794" s="144"/>
      <c r="E794" s="144"/>
      <c r="F794" s="61"/>
      <c r="G794" s="61"/>
      <c r="H794" s="61"/>
      <c r="I794" s="55">
        <f>670+25</f>
        <v>695</v>
      </c>
    </row>
    <row r="795" spans="1:9" ht="15.75" hidden="1">
      <c r="A795" s="144" t="s">
        <v>215</v>
      </c>
      <c r="B795" s="144"/>
      <c r="C795" s="144"/>
      <c r="D795" s="144"/>
      <c r="E795" s="144"/>
      <c r="F795" s="61"/>
      <c r="G795" s="61"/>
      <c r="H795" s="61"/>
      <c r="I795" s="55">
        <v>550</v>
      </c>
    </row>
    <row r="796" spans="1:9" ht="39" customHeight="1" hidden="1">
      <c r="A796" s="144" t="s">
        <v>381</v>
      </c>
      <c r="B796" s="144"/>
      <c r="C796" s="144"/>
      <c r="D796" s="144"/>
      <c r="E796" s="144"/>
      <c r="F796" s="61"/>
      <c r="G796" s="61"/>
      <c r="H796" s="61"/>
      <c r="I796" s="55">
        <v>300</v>
      </c>
    </row>
    <row r="797" spans="1:9" ht="15.75" hidden="1">
      <c r="A797" s="144" t="s">
        <v>754</v>
      </c>
      <c r="B797" s="144"/>
      <c r="C797" s="144"/>
      <c r="D797" s="144"/>
      <c r="E797" s="144"/>
      <c r="F797" s="61"/>
      <c r="G797" s="61"/>
      <c r="H797" s="61"/>
      <c r="I797" s="55">
        <f>905+360-360</f>
        <v>905</v>
      </c>
    </row>
    <row r="798" spans="1:9" ht="15.75" hidden="1">
      <c r="A798" s="147" t="s">
        <v>237</v>
      </c>
      <c r="B798" s="134"/>
      <c r="C798" s="134"/>
      <c r="D798" s="134"/>
      <c r="E798" s="135"/>
      <c r="F798" s="61"/>
      <c r="G798" s="61"/>
      <c r="H798" s="61"/>
      <c r="I798" s="55">
        <v>295</v>
      </c>
    </row>
    <row r="799" spans="1:9" ht="15.75" hidden="1">
      <c r="A799" s="144" t="s">
        <v>1080</v>
      </c>
      <c r="B799" s="144"/>
      <c r="C799" s="144"/>
      <c r="D799" s="144"/>
      <c r="E799" s="144"/>
      <c r="F799" s="61"/>
      <c r="G799" s="61"/>
      <c r="H799" s="61"/>
      <c r="I799" s="55">
        <v>1500</v>
      </c>
    </row>
    <row r="800" spans="1:9" ht="33" customHeight="1" hidden="1">
      <c r="A800" s="144" t="s">
        <v>333</v>
      </c>
      <c r="B800" s="144"/>
      <c r="C800" s="144"/>
      <c r="D800" s="144"/>
      <c r="E800" s="144"/>
      <c r="F800" s="61"/>
      <c r="G800" s="61"/>
      <c r="H800" s="61"/>
      <c r="I800" s="55">
        <f>360-4.41</f>
        <v>355.59</v>
      </c>
    </row>
    <row r="801" spans="1:9" ht="15.75" hidden="1">
      <c r="A801" s="144" t="s">
        <v>755</v>
      </c>
      <c r="B801" s="144"/>
      <c r="C801" s="144"/>
      <c r="D801" s="144"/>
      <c r="E801" s="144"/>
      <c r="F801" s="61"/>
      <c r="G801" s="61"/>
      <c r="H801" s="61"/>
      <c r="I801" s="55">
        <f>2850.7-16-54</f>
        <v>2780.7</v>
      </c>
    </row>
    <row r="802" spans="1:9" ht="30" hidden="1">
      <c r="A802" s="16">
        <v>1517340</v>
      </c>
      <c r="B802" s="16">
        <v>7340</v>
      </c>
      <c r="C802" s="14" t="s">
        <v>582</v>
      </c>
      <c r="D802" s="67" t="s">
        <v>36</v>
      </c>
      <c r="E802" s="18"/>
      <c r="F802" s="18"/>
      <c r="G802" s="18"/>
      <c r="H802" s="18"/>
      <c r="I802" s="126">
        <v>8301.152</v>
      </c>
    </row>
    <row r="803" spans="1:9" ht="37.5" customHeight="1" hidden="1">
      <c r="A803" s="144" t="s">
        <v>39</v>
      </c>
      <c r="B803" s="144"/>
      <c r="C803" s="144"/>
      <c r="D803" s="144"/>
      <c r="E803" s="144"/>
      <c r="F803" s="5"/>
      <c r="G803" s="5"/>
      <c r="H803" s="5"/>
      <c r="I803" s="55">
        <v>1300</v>
      </c>
    </row>
    <row r="804" spans="1:9" ht="37.5" customHeight="1" hidden="1">
      <c r="A804" s="147" t="s">
        <v>902</v>
      </c>
      <c r="B804" s="134"/>
      <c r="C804" s="134"/>
      <c r="D804" s="134"/>
      <c r="E804" s="135"/>
      <c r="F804" s="5"/>
      <c r="G804" s="5"/>
      <c r="H804" s="5"/>
      <c r="I804" s="55">
        <f>2588+300</f>
        <v>2888</v>
      </c>
    </row>
    <row r="805" spans="1:9" ht="42" customHeight="1" hidden="1">
      <c r="A805" s="144" t="s">
        <v>314</v>
      </c>
      <c r="B805" s="144"/>
      <c r="C805" s="144"/>
      <c r="D805" s="144"/>
      <c r="E805" s="144"/>
      <c r="F805" s="5"/>
      <c r="G805" s="5"/>
      <c r="H805" s="5"/>
      <c r="I805" s="55">
        <f>285.6-10.998</f>
        <v>274.60200000000003</v>
      </c>
    </row>
    <row r="806" spans="1:9" ht="34.5" customHeight="1" hidden="1">
      <c r="A806" s="144" t="s">
        <v>167</v>
      </c>
      <c r="B806" s="144"/>
      <c r="C806" s="144"/>
      <c r="D806" s="144"/>
      <c r="E806" s="144"/>
      <c r="F806" s="5"/>
      <c r="G806" s="5"/>
      <c r="H806" s="5"/>
      <c r="I806" s="55"/>
    </row>
    <row r="807" spans="1:9" ht="39" customHeight="1" hidden="1">
      <c r="A807" s="144" t="s">
        <v>714</v>
      </c>
      <c r="B807" s="144"/>
      <c r="C807" s="144"/>
      <c r="D807" s="144"/>
      <c r="E807" s="144"/>
      <c r="F807" s="5"/>
      <c r="G807" s="5"/>
      <c r="H807" s="5"/>
      <c r="I807" s="55">
        <f>16.4+5.15</f>
        <v>21.549999999999997</v>
      </c>
    </row>
    <row r="808" spans="1:9" ht="27.75" customHeight="1" hidden="1">
      <c r="A808" s="144" t="s">
        <v>168</v>
      </c>
      <c r="B808" s="144"/>
      <c r="C808" s="144"/>
      <c r="D808" s="144"/>
      <c r="E808" s="144"/>
      <c r="F808" s="5"/>
      <c r="G808" s="5"/>
      <c r="H808" s="5"/>
      <c r="I808" s="55"/>
    </row>
    <row r="809" spans="1:9" ht="27.75" customHeight="1" hidden="1">
      <c r="A809" s="16">
        <v>1517350</v>
      </c>
      <c r="B809" s="16">
        <v>7350</v>
      </c>
      <c r="C809" s="14" t="s">
        <v>582</v>
      </c>
      <c r="D809" s="67" t="s">
        <v>37</v>
      </c>
      <c r="E809" s="5"/>
      <c r="F809" s="5"/>
      <c r="G809" s="5"/>
      <c r="H809" s="5"/>
      <c r="I809" s="5"/>
    </row>
    <row r="810" spans="1:9" ht="27.75" customHeight="1" hidden="1">
      <c r="A810" s="16">
        <v>1517360</v>
      </c>
      <c r="B810" s="16">
        <v>7360</v>
      </c>
      <c r="C810" s="14"/>
      <c r="D810" s="67" t="s">
        <v>337</v>
      </c>
      <c r="E810" s="15" t="s">
        <v>756</v>
      </c>
      <c r="F810" s="5"/>
      <c r="G810" s="5"/>
      <c r="H810" s="5"/>
      <c r="I810" s="73"/>
    </row>
    <row r="811" spans="1:9" ht="52.5" customHeight="1" hidden="1">
      <c r="A811" s="16">
        <v>1517361</v>
      </c>
      <c r="B811" s="16">
        <v>7361</v>
      </c>
      <c r="C811" s="14" t="s">
        <v>936</v>
      </c>
      <c r="D811" s="17" t="s">
        <v>533</v>
      </c>
      <c r="E811" s="15" t="s">
        <v>756</v>
      </c>
      <c r="F811" s="5"/>
      <c r="G811" s="5"/>
      <c r="H811" s="5"/>
      <c r="I811" s="34">
        <v>8873.5</v>
      </c>
    </row>
    <row r="812" spans="1:9" ht="37.5" customHeight="1" hidden="1">
      <c r="A812" s="147" t="s">
        <v>623</v>
      </c>
      <c r="B812" s="134"/>
      <c r="C812" s="134"/>
      <c r="D812" s="134"/>
      <c r="E812" s="135"/>
      <c r="F812" s="53"/>
      <c r="G812" s="53"/>
      <c r="H812" s="53"/>
      <c r="I812" s="55">
        <v>200</v>
      </c>
    </row>
    <row r="813" spans="1:9" ht="38.25" customHeight="1" hidden="1">
      <c r="A813" s="147" t="s">
        <v>774</v>
      </c>
      <c r="B813" s="134"/>
      <c r="C813" s="134"/>
      <c r="D813" s="134"/>
      <c r="E813" s="135"/>
      <c r="F813" s="53"/>
      <c r="G813" s="53"/>
      <c r="H813" s="53"/>
      <c r="I813" s="55">
        <f>515.8</f>
        <v>515.8</v>
      </c>
    </row>
    <row r="814" spans="1:9" ht="15.75" hidden="1">
      <c r="A814" s="131" t="s">
        <v>307</v>
      </c>
      <c r="B814" s="132" t="s">
        <v>836</v>
      </c>
      <c r="C814" s="132" t="s">
        <v>836</v>
      </c>
      <c r="D814" s="132" t="s">
        <v>836</v>
      </c>
      <c r="E814" s="133" t="s">
        <v>836</v>
      </c>
      <c r="F814" s="5"/>
      <c r="G814" s="5"/>
      <c r="H814" s="5"/>
      <c r="I814" s="55">
        <v>900</v>
      </c>
    </row>
    <row r="815" spans="1:9" ht="36" customHeight="1" hidden="1">
      <c r="A815" s="131" t="s">
        <v>38</v>
      </c>
      <c r="B815" s="132"/>
      <c r="C815" s="132"/>
      <c r="D815" s="132"/>
      <c r="E815" s="133"/>
      <c r="F815" s="5"/>
      <c r="G815" s="5"/>
      <c r="H815" s="5"/>
      <c r="I815" s="55">
        <v>379.6</v>
      </c>
    </row>
    <row r="816" spans="1:9" ht="14.25" customHeight="1" hidden="1">
      <c r="A816" s="131" t="s">
        <v>836</v>
      </c>
      <c r="B816" s="132" t="s">
        <v>836</v>
      </c>
      <c r="C816" s="132" t="s">
        <v>836</v>
      </c>
      <c r="D816" s="132" t="s">
        <v>836</v>
      </c>
      <c r="E816" s="133" t="s">
        <v>836</v>
      </c>
      <c r="F816" s="5"/>
      <c r="G816" s="5"/>
      <c r="H816" s="5"/>
      <c r="I816" s="55">
        <f>500+200</f>
        <v>700</v>
      </c>
    </row>
    <row r="817" spans="1:9" ht="14.25" customHeight="1" hidden="1">
      <c r="A817" s="131" t="s">
        <v>837</v>
      </c>
      <c r="B817" s="132" t="s">
        <v>837</v>
      </c>
      <c r="C817" s="132" t="s">
        <v>837</v>
      </c>
      <c r="D817" s="132" t="s">
        <v>837</v>
      </c>
      <c r="E817" s="133" t="s">
        <v>837</v>
      </c>
      <c r="F817" s="5"/>
      <c r="G817" s="5"/>
      <c r="H817" s="5"/>
      <c r="I817" s="55">
        <f>580-200</f>
        <v>380</v>
      </c>
    </row>
    <row r="818" spans="1:9" ht="34.5" customHeight="1" hidden="1">
      <c r="A818" s="131" t="s">
        <v>838</v>
      </c>
      <c r="B818" s="132" t="s">
        <v>838</v>
      </c>
      <c r="C818" s="132" t="s">
        <v>838</v>
      </c>
      <c r="D818" s="132" t="s">
        <v>838</v>
      </c>
      <c r="E818" s="133" t="s">
        <v>838</v>
      </c>
      <c r="F818" s="5"/>
      <c r="G818" s="5"/>
      <c r="H818" s="5"/>
      <c r="I818" s="55">
        <v>0</v>
      </c>
    </row>
    <row r="819" spans="1:9" ht="34.5" customHeight="1" hidden="1">
      <c r="A819" s="131" t="s">
        <v>759</v>
      </c>
      <c r="B819" s="132"/>
      <c r="C819" s="132"/>
      <c r="D819" s="132"/>
      <c r="E819" s="133"/>
      <c r="F819" s="5"/>
      <c r="G819" s="5"/>
      <c r="H819" s="5"/>
      <c r="I819" s="55">
        <v>300</v>
      </c>
    </row>
    <row r="820" spans="1:9" ht="44.25" customHeight="1" hidden="1">
      <c r="A820" s="131" t="s">
        <v>713</v>
      </c>
      <c r="B820" s="132" t="s">
        <v>62</v>
      </c>
      <c r="C820" s="132" t="s">
        <v>62</v>
      </c>
      <c r="D820" s="132" t="s">
        <v>62</v>
      </c>
      <c r="E820" s="133" t="s">
        <v>62</v>
      </c>
      <c r="F820" s="5"/>
      <c r="G820" s="5"/>
      <c r="H820" s="5"/>
      <c r="I820" s="55">
        <f>231-231</f>
        <v>0</v>
      </c>
    </row>
    <row r="821" spans="1:9" ht="29.25" customHeight="1" hidden="1">
      <c r="A821" s="131" t="s">
        <v>63</v>
      </c>
      <c r="B821" s="132" t="s">
        <v>63</v>
      </c>
      <c r="C821" s="132" t="s">
        <v>63</v>
      </c>
      <c r="D821" s="132" t="s">
        <v>63</v>
      </c>
      <c r="E821" s="133" t="s">
        <v>63</v>
      </c>
      <c r="F821" s="5"/>
      <c r="G821" s="5"/>
      <c r="H821" s="5"/>
      <c r="I821" s="55">
        <v>200</v>
      </c>
    </row>
    <row r="822" spans="1:9" ht="14.25" customHeight="1" hidden="1">
      <c r="A822" s="131" t="s">
        <v>966</v>
      </c>
      <c r="B822" s="132" t="s">
        <v>966</v>
      </c>
      <c r="C822" s="132" t="s">
        <v>966</v>
      </c>
      <c r="D822" s="132" t="s">
        <v>966</v>
      </c>
      <c r="E822" s="133" t="s">
        <v>966</v>
      </c>
      <c r="F822" s="5"/>
      <c r="G822" s="5"/>
      <c r="H822" s="5"/>
      <c r="I822" s="55">
        <v>910.9</v>
      </c>
    </row>
    <row r="823" spans="1:9" ht="29.25" customHeight="1" hidden="1">
      <c r="A823" s="131" t="s">
        <v>879</v>
      </c>
      <c r="B823" s="132" t="s">
        <v>879</v>
      </c>
      <c r="C823" s="132" t="s">
        <v>879</v>
      </c>
      <c r="D823" s="132" t="s">
        <v>879</v>
      </c>
      <c r="E823" s="133" t="s">
        <v>879</v>
      </c>
      <c r="F823" s="5"/>
      <c r="G823" s="5"/>
      <c r="H823" s="5"/>
      <c r="I823" s="55">
        <v>0</v>
      </c>
    </row>
    <row r="824" spans="1:9" ht="29.25" customHeight="1" hidden="1">
      <c r="A824" s="131" t="s">
        <v>760</v>
      </c>
      <c r="B824" s="132"/>
      <c r="C824" s="132"/>
      <c r="D824" s="132"/>
      <c r="E824" s="133"/>
      <c r="F824" s="5"/>
      <c r="G824" s="5"/>
      <c r="H824" s="61"/>
      <c r="I824" s="55">
        <v>500</v>
      </c>
    </row>
    <row r="825" spans="1:9" ht="30" customHeight="1" hidden="1">
      <c r="A825" s="131" t="s">
        <v>523</v>
      </c>
      <c r="B825" s="132" t="s">
        <v>523</v>
      </c>
      <c r="C825" s="132" t="s">
        <v>523</v>
      </c>
      <c r="D825" s="132" t="s">
        <v>523</v>
      </c>
      <c r="E825" s="133" t="s">
        <v>523</v>
      </c>
      <c r="F825" s="5"/>
      <c r="G825" s="5"/>
      <c r="H825" s="5"/>
      <c r="I825" s="55">
        <v>392.2</v>
      </c>
    </row>
    <row r="826" spans="1:9" ht="30" customHeight="1" hidden="1">
      <c r="A826" s="131" t="s">
        <v>142</v>
      </c>
      <c r="B826" s="132"/>
      <c r="C826" s="132"/>
      <c r="D826" s="132"/>
      <c r="E826" s="133"/>
      <c r="F826" s="5"/>
      <c r="G826" s="5"/>
      <c r="H826" s="5"/>
      <c r="I826" s="55">
        <v>700</v>
      </c>
    </row>
    <row r="827" spans="1:9" ht="30" customHeight="1" hidden="1">
      <c r="A827" s="131" t="s">
        <v>506</v>
      </c>
      <c r="B827" s="132"/>
      <c r="C827" s="132"/>
      <c r="D827" s="132"/>
      <c r="E827" s="133"/>
      <c r="F827" s="5"/>
      <c r="G827" s="5"/>
      <c r="H827" s="5"/>
      <c r="I827" s="55">
        <f>1495+1300</f>
        <v>2795</v>
      </c>
    </row>
    <row r="828" spans="1:9" ht="27.75" customHeight="1" hidden="1">
      <c r="A828" s="16">
        <v>1517363</v>
      </c>
      <c r="B828" s="16">
        <v>7363</v>
      </c>
      <c r="C828" s="19" t="s">
        <v>936</v>
      </c>
      <c r="D828" s="30" t="s">
        <v>639</v>
      </c>
      <c r="E828" s="5"/>
      <c r="F828" s="5"/>
      <c r="G828" s="5"/>
      <c r="H828" s="5"/>
      <c r="I828" s="5"/>
    </row>
    <row r="829" spans="1:9" ht="27.75" customHeight="1" hidden="1">
      <c r="A829" s="16">
        <v>1517365</v>
      </c>
      <c r="B829" s="16">
        <v>7365</v>
      </c>
      <c r="C829" s="19" t="s">
        <v>936</v>
      </c>
      <c r="D829" s="70" t="s">
        <v>640</v>
      </c>
      <c r="E829" s="5"/>
      <c r="F829" s="5"/>
      <c r="G829" s="5"/>
      <c r="H829" s="5"/>
      <c r="I829" s="5"/>
    </row>
    <row r="830" spans="1:9" ht="37.5" customHeight="1" hidden="1">
      <c r="A830" s="16">
        <v>1517366</v>
      </c>
      <c r="B830" s="16">
        <v>7366</v>
      </c>
      <c r="C830" s="19" t="s">
        <v>936</v>
      </c>
      <c r="D830" s="70" t="s">
        <v>641</v>
      </c>
      <c r="E830" s="5"/>
      <c r="F830" s="5"/>
      <c r="G830" s="5"/>
      <c r="H830" s="5"/>
      <c r="I830" s="74"/>
    </row>
    <row r="831" spans="1:9" ht="72" customHeight="1">
      <c r="A831" s="16">
        <v>1517367</v>
      </c>
      <c r="B831" s="16">
        <v>7367</v>
      </c>
      <c r="C831" s="14" t="s">
        <v>936</v>
      </c>
      <c r="D831" s="17" t="s">
        <v>607</v>
      </c>
      <c r="E831" s="15" t="s">
        <v>756</v>
      </c>
      <c r="F831" s="5"/>
      <c r="G831" s="5"/>
      <c r="H831" s="5"/>
      <c r="I831" s="112">
        <v>85044.222</v>
      </c>
    </row>
    <row r="832" spans="1:9" ht="49.5" customHeight="1" hidden="1">
      <c r="A832" s="131" t="s">
        <v>648</v>
      </c>
      <c r="B832" s="132"/>
      <c r="C832" s="132"/>
      <c r="D832" s="132"/>
      <c r="E832" s="133"/>
      <c r="F832" s="5"/>
      <c r="G832" s="5"/>
      <c r="H832" s="5"/>
      <c r="I832" s="74">
        <f>137.34+96.84</f>
        <v>234.18</v>
      </c>
    </row>
    <row r="833" spans="1:9" ht="49.5" customHeight="1" hidden="1">
      <c r="A833" s="131" t="s">
        <v>994</v>
      </c>
      <c r="B833" s="132"/>
      <c r="C833" s="132"/>
      <c r="D833" s="132"/>
      <c r="E833" s="133"/>
      <c r="F833" s="5"/>
      <c r="G833" s="5"/>
      <c r="H833" s="5"/>
      <c r="I833" s="74">
        <v>800</v>
      </c>
    </row>
    <row r="834" spans="1:9" ht="56.25" customHeight="1" hidden="1">
      <c r="A834" s="131" t="s">
        <v>588</v>
      </c>
      <c r="B834" s="132"/>
      <c r="C834" s="132"/>
      <c r="D834" s="132"/>
      <c r="E834" s="133"/>
      <c r="F834" s="5"/>
      <c r="G834" s="5"/>
      <c r="H834" s="5"/>
      <c r="I834" s="74">
        <v>100</v>
      </c>
    </row>
    <row r="835" spans="1:9" ht="45.75" customHeight="1" hidden="1">
      <c r="A835" s="131" t="s">
        <v>466</v>
      </c>
      <c r="B835" s="132"/>
      <c r="C835" s="132"/>
      <c r="D835" s="132"/>
      <c r="E835" s="133"/>
      <c r="F835" s="5"/>
      <c r="G835" s="5"/>
      <c r="H835" s="5"/>
      <c r="I835" s="74">
        <f>100+100</f>
        <v>200</v>
      </c>
    </row>
    <row r="836" spans="1:9" ht="45.75" customHeight="1" hidden="1">
      <c r="A836" s="131" t="s">
        <v>102</v>
      </c>
      <c r="B836" s="132"/>
      <c r="C836" s="132"/>
      <c r="D836" s="132"/>
      <c r="E836" s="133"/>
      <c r="F836" s="5"/>
      <c r="G836" s="5"/>
      <c r="H836" s="5"/>
      <c r="I836" s="74">
        <v>611</v>
      </c>
    </row>
    <row r="837" spans="1:9" ht="45.75" customHeight="1" hidden="1">
      <c r="A837" s="131" t="s">
        <v>964</v>
      </c>
      <c r="B837" s="132"/>
      <c r="C837" s="132"/>
      <c r="D837" s="132"/>
      <c r="E837" s="133"/>
      <c r="F837" s="5"/>
      <c r="G837" s="5"/>
      <c r="H837" s="5"/>
      <c r="I837" s="74">
        <f>500+50</f>
        <v>550</v>
      </c>
    </row>
    <row r="838" spans="1:9" ht="45.75" customHeight="1">
      <c r="A838" s="131" t="s">
        <v>95</v>
      </c>
      <c r="B838" s="132"/>
      <c r="C838" s="132"/>
      <c r="D838" s="132"/>
      <c r="E838" s="133"/>
      <c r="F838" s="5"/>
      <c r="G838" s="5"/>
      <c r="H838" s="5"/>
      <c r="I838" s="74">
        <v>650</v>
      </c>
    </row>
    <row r="839" spans="1:9" ht="37.5" customHeight="1" hidden="1">
      <c r="A839" s="131" t="s">
        <v>904</v>
      </c>
      <c r="B839" s="132"/>
      <c r="C839" s="132"/>
      <c r="D839" s="132"/>
      <c r="E839" s="133"/>
      <c r="F839" s="5"/>
      <c r="G839" s="5"/>
      <c r="H839" s="5"/>
      <c r="I839" s="74">
        <v>1000</v>
      </c>
    </row>
    <row r="840" spans="1:9" ht="37.5" customHeight="1" hidden="1">
      <c r="A840" s="131" t="s">
        <v>345</v>
      </c>
      <c r="B840" s="132"/>
      <c r="C840" s="132"/>
      <c r="D840" s="132"/>
      <c r="E840" s="133"/>
      <c r="F840" s="5"/>
      <c r="G840" s="5"/>
      <c r="H840" s="5"/>
      <c r="I840" s="74">
        <v>78376.757</v>
      </c>
    </row>
    <row r="841" spans="1:9" ht="37.5" customHeight="1" hidden="1">
      <c r="A841" s="131" t="s">
        <v>568</v>
      </c>
      <c r="B841" s="132"/>
      <c r="C841" s="132"/>
      <c r="D841" s="132"/>
      <c r="E841" s="133"/>
      <c r="F841" s="5"/>
      <c r="G841" s="5"/>
      <c r="H841" s="5"/>
      <c r="I841" s="74">
        <v>300</v>
      </c>
    </row>
    <row r="842" spans="1:9" ht="37.5" customHeight="1" hidden="1">
      <c r="A842" s="131" t="s">
        <v>415</v>
      </c>
      <c r="B842" s="132"/>
      <c r="C842" s="132"/>
      <c r="D842" s="132"/>
      <c r="E842" s="133"/>
      <c r="F842" s="5"/>
      <c r="G842" s="5"/>
      <c r="H842" s="5"/>
      <c r="I842" s="74">
        <v>1000</v>
      </c>
    </row>
    <row r="843" spans="1:9" ht="37.5" customHeight="1" hidden="1">
      <c r="A843" s="131" t="s">
        <v>984</v>
      </c>
      <c r="B843" s="132"/>
      <c r="C843" s="132"/>
      <c r="D843" s="132"/>
      <c r="E843" s="133"/>
      <c r="F843" s="5"/>
      <c r="G843" s="5"/>
      <c r="H843" s="5"/>
      <c r="I843" s="74">
        <v>500</v>
      </c>
    </row>
    <row r="844" spans="1:9" ht="29.25" customHeight="1" hidden="1">
      <c r="A844" s="131" t="s">
        <v>267</v>
      </c>
      <c r="B844" s="132"/>
      <c r="C844" s="132"/>
      <c r="D844" s="132"/>
      <c r="E844" s="133"/>
      <c r="F844" s="5"/>
      <c r="G844" s="5"/>
      <c r="H844" s="5"/>
      <c r="I844" s="74">
        <v>50</v>
      </c>
    </row>
    <row r="845" spans="1:9" ht="24.75" customHeight="1" hidden="1">
      <c r="A845" s="131" t="s">
        <v>965</v>
      </c>
      <c r="B845" s="132"/>
      <c r="C845" s="132"/>
      <c r="D845" s="132"/>
      <c r="E845" s="133"/>
      <c r="F845" s="5"/>
      <c r="G845" s="5"/>
      <c r="H845" s="5"/>
      <c r="I845" s="74">
        <v>50</v>
      </c>
    </row>
    <row r="846" spans="1:9" ht="37.5" customHeight="1" hidden="1">
      <c r="A846" s="131" t="s">
        <v>985</v>
      </c>
      <c r="B846" s="132"/>
      <c r="C846" s="132"/>
      <c r="D846" s="132"/>
      <c r="E846" s="133"/>
      <c r="F846" s="5"/>
      <c r="G846" s="5"/>
      <c r="H846" s="5"/>
      <c r="I846" s="74">
        <v>622.285</v>
      </c>
    </row>
    <row r="847" spans="1:9" ht="37.5" customHeight="1" hidden="1">
      <c r="A847" s="16">
        <v>1517370</v>
      </c>
      <c r="B847" s="16">
        <v>7370</v>
      </c>
      <c r="C847" s="14" t="s">
        <v>936</v>
      </c>
      <c r="D847" s="67" t="s">
        <v>642</v>
      </c>
      <c r="E847" s="15" t="s">
        <v>756</v>
      </c>
      <c r="F847" s="5"/>
      <c r="G847" s="5"/>
      <c r="H847" s="5"/>
      <c r="I847" s="40">
        <f>9667.3-60</f>
        <v>9607.3</v>
      </c>
    </row>
    <row r="848" spans="1:9" ht="48" customHeight="1" hidden="1">
      <c r="A848" s="159" t="s">
        <v>22</v>
      </c>
      <c r="B848" s="159"/>
      <c r="C848" s="159"/>
      <c r="D848" s="159"/>
      <c r="E848" s="159"/>
      <c r="F848" s="5"/>
      <c r="G848" s="5"/>
      <c r="H848" s="5"/>
      <c r="I848" s="82">
        <f>-60+60</f>
        <v>0</v>
      </c>
    </row>
    <row r="849" spans="1:9" ht="35.25" customHeight="1" hidden="1">
      <c r="A849" s="16">
        <v>1517380</v>
      </c>
      <c r="B849" s="16">
        <v>7380</v>
      </c>
      <c r="C849" s="14" t="s">
        <v>936</v>
      </c>
      <c r="D849" s="17" t="s">
        <v>642</v>
      </c>
      <c r="E849" s="5"/>
      <c r="F849" s="5"/>
      <c r="G849" s="5"/>
      <c r="H849" s="5"/>
      <c r="I849" s="5"/>
    </row>
    <row r="850" spans="1:9" ht="27.75" customHeight="1" hidden="1">
      <c r="A850" s="18">
        <v>1518300</v>
      </c>
      <c r="B850" s="18">
        <v>8300</v>
      </c>
      <c r="C850" s="130" t="s">
        <v>842</v>
      </c>
      <c r="D850" s="130"/>
      <c r="E850" s="5"/>
      <c r="F850" s="5"/>
      <c r="G850" s="5"/>
      <c r="H850" s="5"/>
      <c r="I850" s="5"/>
    </row>
    <row r="851" spans="1:9" ht="27.75" customHeight="1" hidden="1">
      <c r="A851" s="16">
        <v>1518330</v>
      </c>
      <c r="B851" s="16">
        <v>8330</v>
      </c>
      <c r="C851" s="14" t="s">
        <v>943</v>
      </c>
      <c r="D851" s="17" t="s">
        <v>629</v>
      </c>
      <c r="E851" s="5"/>
      <c r="F851" s="5"/>
      <c r="G851" s="5"/>
      <c r="H851" s="5"/>
      <c r="I851" s="5"/>
    </row>
    <row r="852" spans="1:9" ht="38.25" customHeight="1" hidden="1">
      <c r="A852" s="18">
        <v>2400000</v>
      </c>
      <c r="B852" s="155" t="s">
        <v>643</v>
      </c>
      <c r="C852" s="155"/>
      <c r="D852" s="155"/>
      <c r="E852" s="5"/>
      <c r="F852" s="5"/>
      <c r="G852" s="5"/>
      <c r="H852" s="5"/>
      <c r="I852" s="77">
        <f>I853</f>
        <v>1381.8</v>
      </c>
    </row>
    <row r="853" spans="1:9" s="36" customFormat="1" ht="35.25" customHeight="1" hidden="1">
      <c r="A853" s="38">
        <v>2410000</v>
      </c>
      <c r="B853" s="154" t="s">
        <v>643</v>
      </c>
      <c r="C853" s="154"/>
      <c r="D853" s="154"/>
      <c r="E853" s="42"/>
      <c r="F853" s="42"/>
      <c r="G853" s="42"/>
      <c r="H853" s="42"/>
      <c r="I853" s="78">
        <f>I873</f>
        <v>1381.8</v>
      </c>
    </row>
    <row r="854" spans="1:9" ht="35.25" customHeight="1" hidden="1">
      <c r="A854" s="18">
        <v>2417100</v>
      </c>
      <c r="B854" s="18">
        <v>7100</v>
      </c>
      <c r="C854" s="130" t="s">
        <v>644</v>
      </c>
      <c r="D854" s="130"/>
      <c r="E854" s="5"/>
      <c r="F854" s="5"/>
      <c r="G854" s="5"/>
      <c r="H854" s="5"/>
      <c r="I854" s="35"/>
    </row>
    <row r="855" spans="1:9" ht="30" hidden="1">
      <c r="A855" s="18">
        <v>2417130</v>
      </c>
      <c r="B855" s="16">
        <v>7130</v>
      </c>
      <c r="C855" s="14" t="s">
        <v>645</v>
      </c>
      <c r="D855" s="15" t="s">
        <v>646</v>
      </c>
      <c r="E855" s="5"/>
      <c r="F855" s="5"/>
      <c r="G855" s="5"/>
      <c r="H855" s="5"/>
      <c r="I855" s="35"/>
    </row>
    <row r="856" spans="1:9" ht="30" hidden="1">
      <c r="A856" s="18">
        <v>2417150</v>
      </c>
      <c r="B856" s="16">
        <v>7150</v>
      </c>
      <c r="C856" s="14" t="s">
        <v>647</v>
      </c>
      <c r="D856" s="15" t="s">
        <v>327</v>
      </c>
      <c r="E856" s="5"/>
      <c r="F856" s="5"/>
      <c r="G856" s="5"/>
      <c r="H856" s="5"/>
      <c r="I856" s="35"/>
    </row>
    <row r="857" spans="1:9" ht="72" hidden="1">
      <c r="A857" s="31">
        <v>2417150</v>
      </c>
      <c r="B857" s="27">
        <v>7150</v>
      </c>
      <c r="C857" s="26" t="s">
        <v>328</v>
      </c>
      <c r="D857" s="22" t="s">
        <v>1070</v>
      </c>
      <c r="E857" s="5"/>
      <c r="F857" s="5"/>
      <c r="G857" s="5"/>
      <c r="H857" s="5"/>
      <c r="I857" s="35"/>
    </row>
    <row r="858" spans="1:9" ht="48" hidden="1">
      <c r="A858" s="31">
        <v>2417150</v>
      </c>
      <c r="B858" s="27">
        <v>7150</v>
      </c>
      <c r="C858" s="26" t="s">
        <v>647</v>
      </c>
      <c r="D858" s="22" t="s">
        <v>427</v>
      </c>
      <c r="E858" s="5"/>
      <c r="F858" s="5"/>
      <c r="G858" s="5"/>
      <c r="H858" s="5"/>
      <c r="I858" s="35"/>
    </row>
    <row r="859" spans="1:9" ht="30" hidden="1">
      <c r="A859" s="18">
        <v>2417110</v>
      </c>
      <c r="B859" s="16">
        <v>7110</v>
      </c>
      <c r="C859" s="14" t="s">
        <v>428</v>
      </c>
      <c r="D859" s="15" t="s">
        <v>429</v>
      </c>
      <c r="E859" s="15" t="s">
        <v>756</v>
      </c>
      <c r="F859" s="5"/>
      <c r="G859" s="5"/>
      <c r="H859" s="5"/>
      <c r="I859" s="34"/>
    </row>
    <row r="860" spans="1:9" ht="72" hidden="1">
      <c r="A860" s="31">
        <v>2417110</v>
      </c>
      <c r="B860" s="27">
        <v>7110</v>
      </c>
      <c r="C860" s="26" t="s">
        <v>430</v>
      </c>
      <c r="D860" s="22" t="s">
        <v>948</v>
      </c>
      <c r="E860" s="5"/>
      <c r="F860" s="5"/>
      <c r="G860" s="5"/>
      <c r="H860" s="5"/>
      <c r="I860" s="5"/>
    </row>
    <row r="861" spans="1:9" ht="48" hidden="1">
      <c r="A861" s="31">
        <v>2417110</v>
      </c>
      <c r="B861" s="27">
        <v>7110</v>
      </c>
      <c r="C861" s="26" t="s">
        <v>942</v>
      </c>
      <c r="D861" s="22" t="s">
        <v>427</v>
      </c>
      <c r="E861" s="5"/>
      <c r="F861" s="5"/>
      <c r="G861" s="5"/>
      <c r="H861" s="5"/>
      <c r="I861" s="5"/>
    </row>
    <row r="862" spans="1:9" ht="30" hidden="1">
      <c r="A862" s="16">
        <v>2417120</v>
      </c>
      <c r="B862" s="16">
        <v>7120</v>
      </c>
      <c r="C862" s="14" t="s">
        <v>949</v>
      </c>
      <c r="D862" s="17" t="s">
        <v>203</v>
      </c>
      <c r="E862" s="5"/>
      <c r="F862" s="5"/>
      <c r="G862" s="5"/>
      <c r="H862" s="5"/>
      <c r="I862" s="5"/>
    </row>
    <row r="863" spans="1:9" ht="30" hidden="1">
      <c r="A863" s="16">
        <v>2417140</v>
      </c>
      <c r="B863" s="16">
        <v>7140</v>
      </c>
      <c r="C863" s="14" t="s">
        <v>942</v>
      </c>
      <c r="D863" s="17" t="s">
        <v>204</v>
      </c>
      <c r="E863" s="5"/>
      <c r="F863" s="5"/>
      <c r="G863" s="5"/>
      <c r="H863" s="5"/>
      <c r="I863" s="5"/>
    </row>
    <row r="864" spans="1:9" ht="15.75" hidden="1">
      <c r="A864" s="12" t="s">
        <v>205</v>
      </c>
      <c r="B864" s="18">
        <v>7600</v>
      </c>
      <c r="C864" s="151" t="s">
        <v>280</v>
      </c>
      <c r="D864" s="151"/>
      <c r="E864" s="5"/>
      <c r="F864" s="5"/>
      <c r="G864" s="5"/>
      <c r="H864" s="5"/>
      <c r="I864" s="5"/>
    </row>
    <row r="865" spans="1:9" ht="15.75" hidden="1">
      <c r="A865" s="14" t="s">
        <v>206</v>
      </c>
      <c r="B865" s="14" t="s">
        <v>283</v>
      </c>
      <c r="C865" s="14" t="s">
        <v>936</v>
      </c>
      <c r="D865" s="15" t="s">
        <v>285</v>
      </c>
      <c r="E865" s="5"/>
      <c r="F865" s="5"/>
      <c r="G865" s="5"/>
      <c r="H865" s="5"/>
      <c r="I865" s="5"/>
    </row>
    <row r="866" spans="1:9" ht="30" hidden="1">
      <c r="A866" s="16">
        <v>2417693</v>
      </c>
      <c r="B866" s="16">
        <v>7693</v>
      </c>
      <c r="C866" s="14" t="s">
        <v>936</v>
      </c>
      <c r="D866" s="15" t="s">
        <v>207</v>
      </c>
      <c r="E866" s="5"/>
      <c r="F866" s="5"/>
      <c r="G866" s="5"/>
      <c r="H866" s="5"/>
      <c r="I866" s="5"/>
    </row>
    <row r="867" spans="1:9" ht="15.75" hidden="1">
      <c r="A867" s="18">
        <v>2416000</v>
      </c>
      <c r="B867" s="18">
        <v>6000</v>
      </c>
      <c r="C867" s="130" t="s">
        <v>75</v>
      </c>
      <c r="D867" s="130"/>
      <c r="E867" s="5"/>
      <c r="F867" s="5"/>
      <c r="G867" s="5"/>
      <c r="H867" s="5"/>
      <c r="I867" s="5"/>
    </row>
    <row r="868" spans="1:9" ht="30" hidden="1">
      <c r="A868" s="16">
        <v>2416080</v>
      </c>
      <c r="B868" s="16">
        <v>6080</v>
      </c>
      <c r="C868" s="14"/>
      <c r="D868" s="67" t="s">
        <v>208</v>
      </c>
      <c r="E868" s="5"/>
      <c r="F868" s="5"/>
      <c r="G868" s="5"/>
      <c r="H868" s="5"/>
      <c r="I868" s="5"/>
    </row>
    <row r="869" spans="1:9" ht="45" hidden="1">
      <c r="A869" s="21">
        <v>2416081</v>
      </c>
      <c r="B869" s="21">
        <v>6081</v>
      </c>
      <c r="C869" s="19" t="s">
        <v>209</v>
      </c>
      <c r="D869" s="70" t="s">
        <v>569</v>
      </c>
      <c r="E869" s="15" t="s">
        <v>756</v>
      </c>
      <c r="F869" s="5"/>
      <c r="G869" s="5"/>
      <c r="H869" s="5"/>
      <c r="I869" s="55">
        <f>2500+1000</f>
        <v>3500</v>
      </c>
    </row>
    <row r="870" spans="1:9" ht="45" hidden="1">
      <c r="A870" s="21">
        <v>2416082</v>
      </c>
      <c r="B870" s="21">
        <v>6082</v>
      </c>
      <c r="C870" s="19" t="s">
        <v>209</v>
      </c>
      <c r="D870" s="70" t="s">
        <v>570</v>
      </c>
      <c r="E870" s="5"/>
      <c r="F870" s="5"/>
      <c r="G870" s="5"/>
      <c r="H870" s="5"/>
      <c r="I870" s="5"/>
    </row>
    <row r="871" spans="1:9" ht="15.75" hidden="1">
      <c r="A871" s="18">
        <v>2417300</v>
      </c>
      <c r="B871" s="18">
        <v>7300</v>
      </c>
      <c r="C871" s="151" t="s">
        <v>580</v>
      </c>
      <c r="D871" s="151"/>
      <c r="E871" s="5"/>
      <c r="F871" s="5"/>
      <c r="G871" s="5"/>
      <c r="H871" s="5"/>
      <c r="I871" s="5"/>
    </row>
    <row r="872" spans="1:9" ht="30" hidden="1">
      <c r="A872" s="16">
        <v>2417340</v>
      </c>
      <c r="B872" s="16">
        <v>7340</v>
      </c>
      <c r="C872" s="14" t="s">
        <v>571</v>
      </c>
      <c r="D872" s="17" t="s">
        <v>36</v>
      </c>
      <c r="E872" s="5"/>
      <c r="F872" s="5"/>
      <c r="G872" s="5"/>
      <c r="H872" s="5"/>
      <c r="I872" s="5"/>
    </row>
    <row r="873" spans="1:9" ht="60" hidden="1">
      <c r="A873" s="16">
        <v>2417361</v>
      </c>
      <c r="B873" s="16">
        <v>7361</v>
      </c>
      <c r="C873" s="14"/>
      <c r="D873" s="81" t="s">
        <v>748</v>
      </c>
      <c r="E873" s="5"/>
      <c r="F873" s="5"/>
      <c r="G873" s="5"/>
      <c r="H873" s="5"/>
      <c r="I873" s="56">
        <f>I874</f>
        <v>1381.8</v>
      </c>
    </row>
    <row r="874" spans="1:9" ht="48" customHeight="1" hidden="1">
      <c r="A874" s="131" t="s">
        <v>98</v>
      </c>
      <c r="B874" s="132" t="s">
        <v>98</v>
      </c>
      <c r="C874" s="132" t="s">
        <v>98</v>
      </c>
      <c r="D874" s="132" t="s">
        <v>98</v>
      </c>
      <c r="E874" s="133" t="s">
        <v>98</v>
      </c>
      <c r="F874" s="5"/>
      <c r="G874" s="5"/>
      <c r="H874" s="5"/>
      <c r="I874" s="55">
        <v>1381.8</v>
      </c>
    </row>
    <row r="875" spans="1:9" ht="33" customHeight="1" hidden="1">
      <c r="A875" s="18">
        <v>2418300</v>
      </c>
      <c r="B875" s="18">
        <v>8300</v>
      </c>
      <c r="C875" s="130" t="s">
        <v>842</v>
      </c>
      <c r="D875" s="130"/>
      <c r="E875" s="5"/>
      <c r="F875" s="5"/>
      <c r="G875" s="5"/>
      <c r="H875" s="5"/>
      <c r="I875" s="5"/>
    </row>
    <row r="876" spans="1:9" ht="30" hidden="1">
      <c r="A876" s="16">
        <v>2418311</v>
      </c>
      <c r="B876" s="16">
        <v>8311</v>
      </c>
      <c r="C876" s="14" t="s">
        <v>572</v>
      </c>
      <c r="D876" s="15" t="s">
        <v>573</v>
      </c>
      <c r="E876" s="5"/>
      <c r="F876" s="5"/>
      <c r="G876" s="5"/>
      <c r="H876" s="5"/>
      <c r="I876" s="5"/>
    </row>
    <row r="877" spans="1:9" ht="30" hidden="1">
      <c r="A877" s="16">
        <v>2418313</v>
      </c>
      <c r="B877" s="16">
        <v>8313</v>
      </c>
      <c r="C877" s="14" t="s">
        <v>612</v>
      </c>
      <c r="D877" s="15" t="s">
        <v>911</v>
      </c>
      <c r="E877" s="15" t="s">
        <v>756</v>
      </c>
      <c r="F877" s="5"/>
      <c r="G877" s="5"/>
      <c r="H877" s="5"/>
      <c r="I877" s="34">
        <v>1065</v>
      </c>
    </row>
    <row r="878" spans="1:9" ht="15.75" hidden="1">
      <c r="A878" s="144" t="s">
        <v>701</v>
      </c>
      <c r="B878" s="144"/>
      <c r="C878" s="144"/>
      <c r="D878" s="144"/>
      <c r="E878" s="144"/>
      <c r="F878" s="5"/>
      <c r="G878" s="5"/>
      <c r="H878" s="5"/>
      <c r="I878" s="55">
        <v>95</v>
      </c>
    </row>
    <row r="879" spans="1:9" ht="15.75" hidden="1">
      <c r="A879" s="144" t="s">
        <v>1095</v>
      </c>
      <c r="B879" s="144"/>
      <c r="C879" s="144"/>
      <c r="D879" s="144"/>
      <c r="E879" s="144"/>
      <c r="F879" s="5"/>
      <c r="G879" s="5"/>
      <c r="H879" s="5"/>
      <c r="I879" s="55">
        <f>1000-30</f>
        <v>970</v>
      </c>
    </row>
    <row r="880" spans="1:9" ht="30" hidden="1">
      <c r="A880" s="16">
        <v>2418340</v>
      </c>
      <c r="B880" s="16">
        <v>8340</v>
      </c>
      <c r="C880" s="14" t="s">
        <v>574</v>
      </c>
      <c r="D880" s="17" t="s">
        <v>632</v>
      </c>
      <c r="E880" s="5"/>
      <c r="F880" s="5"/>
      <c r="G880" s="5"/>
      <c r="H880" s="5"/>
      <c r="I880" s="5"/>
    </row>
    <row r="881" spans="1:9" ht="15.75" hidden="1">
      <c r="A881" s="144"/>
      <c r="B881" s="144"/>
      <c r="C881" s="144"/>
      <c r="D881" s="144"/>
      <c r="E881" s="144"/>
      <c r="F881" s="5"/>
      <c r="G881" s="5"/>
      <c r="H881" s="5"/>
      <c r="I881" s="55"/>
    </row>
    <row r="882" spans="1:9" ht="66.75" customHeight="1" hidden="1">
      <c r="A882" s="159" t="s">
        <v>467</v>
      </c>
      <c r="B882" s="159"/>
      <c r="C882" s="159"/>
      <c r="D882" s="159"/>
      <c r="E882" s="159"/>
      <c r="F882" s="15"/>
      <c r="G882" s="15"/>
      <c r="H882" s="15"/>
      <c r="I882" s="34"/>
    </row>
    <row r="883" spans="1:9" ht="28.5" customHeight="1" hidden="1">
      <c r="A883" s="18" t="s">
        <v>575</v>
      </c>
      <c r="B883" s="155" t="s">
        <v>730</v>
      </c>
      <c r="C883" s="155"/>
      <c r="D883" s="155"/>
      <c r="E883" s="5"/>
      <c r="F883" s="5"/>
      <c r="G883" s="5"/>
      <c r="H883" s="5"/>
      <c r="I883" s="40"/>
    </row>
    <row r="884" spans="1:9" s="36" customFormat="1" ht="28.5" customHeight="1" hidden="1">
      <c r="A884" s="38" t="s">
        <v>731</v>
      </c>
      <c r="B884" s="154" t="s">
        <v>730</v>
      </c>
      <c r="C884" s="154"/>
      <c r="D884" s="154"/>
      <c r="E884" s="42"/>
      <c r="F884" s="42"/>
      <c r="G884" s="42"/>
      <c r="H884" s="42"/>
      <c r="I884" s="41"/>
    </row>
    <row r="885" spans="1:9" ht="31.5" customHeight="1" hidden="1">
      <c r="A885" s="12" t="s">
        <v>732</v>
      </c>
      <c r="B885" s="18">
        <v>7600</v>
      </c>
      <c r="C885" s="170" t="s">
        <v>280</v>
      </c>
      <c r="D885" s="170"/>
      <c r="E885" s="5"/>
      <c r="F885" s="5"/>
      <c r="G885" s="5"/>
      <c r="H885" s="5"/>
      <c r="I885" s="5"/>
    </row>
    <row r="886" spans="1:9" ht="30" hidden="1">
      <c r="A886" s="16">
        <v>2517610</v>
      </c>
      <c r="B886" s="32">
        <v>7610</v>
      </c>
      <c r="C886" s="14" t="s">
        <v>733</v>
      </c>
      <c r="D886" s="15" t="s">
        <v>734</v>
      </c>
      <c r="E886" s="5"/>
      <c r="F886" s="5"/>
      <c r="G886" s="5"/>
      <c r="H886" s="5"/>
      <c r="I886" s="5"/>
    </row>
    <row r="887" spans="1:9" ht="30" hidden="1">
      <c r="A887" s="16">
        <v>2517620</v>
      </c>
      <c r="B887" s="32" t="s">
        <v>735</v>
      </c>
      <c r="C887" s="14"/>
      <c r="D887" s="17" t="s">
        <v>736</v>
      </c>
      <c r="E887" s="5"/>
      <c r="F887" s="5"/>
      <c r="G887" s="5"/>
      <c r="H887" s="5"/>
      <c r="I887" s="5"/>
    </row>
    <row r="888" spans="1:9" ht="30" hidden="1">
      <c r="A888" s="16">
        <v>2517622</v>
      </c>
      <c r="B888" s="32" t="s">
        <v>737</v>
      </c>
      <c r="C888" s="14" t="s">
        <v>937</v>
      </c>
      <c r="D888" s="30" t="s">
        <v>806</v>
      </c>
      <c r="E888" s="5"/>
      <c r="F888" s="5"/>
      <c r="G888" s="5"/>
      <c r="H888" s="5"/>
      <c r="I888" s="5"/>
    </row>
    <row r="889" spans="1:9" ht="30" hidden="1">
      <c r="A889" s="16">
        <v>2517630</v>
      </c>
      <c r="B889" s="32" t="s">
        <v>807</v>
      </c>
      <c r="C889" s="14" t="s">
        <v>937</v>
      </c>
      <c r="D889" s="17" t="s">
        <v>808</v>
      </c>
      <c r="E889" s="5"/>
      <c r="F889" s="5"/>
      <c r="G889" s="5"/>
      <c r="H889" s="5"/>
      <c r="I889" s="5"/>
    </row>
    <row r="890" spans="1:9" ht="30" hidden="1">
      <c r="A890" s="16">
        <v>2517680</v>
      </c>
      <c r="B890" s="32" t="s">
        <v>809</v>
      </c>
      <c r="C890" s="14" t="s">
        <v>936</v>
      </c>
      <c r="D890" s="17" t="s">
        <v>281</v>
      </c>
      <c r="E890" s="5"/>
      <c r="F890" s="5"/>
      <c r="G890" s="5"/>
      <c r="H890" s="5"/>
      <c r="I890" s="5"/>
    </row>
    <row r="891" spans="1:9" ht="30" hidden="1">
      <c r="A891" s="16">
        <v>2517690</v>
      </c>
      <c r="B891" s="14" t="s">
        <v>283</v>
      </c>
      <c r="C891" s="14" t="s">
        <v>810</v>
      </c>
      <c r="D891" s="15" t="s">
        <v>285</v>
      </c>
      <c r="E891" s="5"/>
      <c r="F891" s="5"/>
      <c r="G891" s="5"/>
      <c r="H891" s="5"/>
      <c r="I891" s="5"/>
    </row>
    <row r="892" spans="1:9" ht="30" hidden="1">
      <c r="A892" s="21">
        <v>2517693</v>
      </c>
      <c r="B892" s="19" t="s">
        <v>287</v>
      </c>
      <c r="C892" s="19" t="s">
        <v>936</v>
      </c>
      <c r="D892" s="20" t="s">
        <v>288</v>
      </c>
      <c r="E892" s="5"/>
      <c r="F892" s="5"/>
      <c r="G892" s="5"/>
      <c r="H892" s="5"/>
      <c r="I892" s="5"/>
    </row>
    <row r="893" spans="1:9" ht="15.75" hidden="1">
      <c r="A893" s="18">
        <v>2517300</v>
      </c>
      <c r="B893" s="63" t="s">
        <v>811</v>
      </c>
      <c r="C893" s="130" t="s">
        <v>580</v>
      </c>
      <c r="D893" s="130"/>
      <c r="E893" s="5"/>
      <c r="F893" s="5"/>
      <c r="G893" s="5"/>
      <c r="H893" s="5"/>
      <c r="I893" s="64"/>
    </row>
    <row r="894" spans="1:9" ht="60" hidden="1">
      <c r="A894" s="16">
        <v>2517367</v>
      </c>
      <c r="B894" s="127" t="s">
        <v>606</v>
      </c>
      <c r="C894" s="14" t="s">
        <v>936</v>
      </c>
      <c r="D894" s="24" t="s">
        <v>607</v>
      </c>
      <c r="E894" s="15" t="s">
        <v>756</v>
      </c>
      <c r="F894" s="5"/>
      <c r="G894" s="5"/>
      <c r="H894" s="5"/>
      <c r="I894" s="97">
        <f>215986.213-7000</f>
        <v>208986.213</v>
      </c>
    </row>
    <row r="895" spans="1:9" ht="30" hidden="1">
      <c r="A895" s="16">
        <v>2517380</v>
      </c>
      <c r="B895" s="32" t="s">
        <v>812</v>
      </c>
      <c r="C895" s="14" t="s">
        <v>936</v>
      </c>
      <c r="D895" s="24" t="s">
        <v>642</v>
      </c>
      <c r="E895" s="5"/>
      <c r="F895" s="5"/>
      <c r="G895" s="5"/>
      <c r="H895" s="5"/>
      <c r="I895" s="5"/>
    </row>
    <row r="896" spans="1:9" ht="24" hidden="1">
      <c r="A896" s="27"/>
      <c r="B896" s="27"/>
      <c r="C896" s="26" t="s">
        <v>936</v>
      </c>
      <c r="D896" s="22" t="s">
        <v>1041</v>
      </c>
      <c r="E896" s="5"/>
      <c r="F896" s="5"/>
      <c r="G896" s="5"/>
      <c r="H896" s="5"/>
      <c r="I896" s="5"/>
    </row>
    <row r="897" spans="1:9" ht="24" hidden="1">
      <c r="A897" s="27"/>
      <c r="B897" s="27"/>
      <c r="C897" s="26" t="s">
        <v>936</v>
      </c>
      <c r="D897" s="22" t="s">
        <v>1041</v>
      </c>
      <c r="E897" s="5"/>
      <c r="F897" s="5"/>
      <c r="G897" s="5"/>
      <c r="H897" s="5"/>
      <c r="I897" s="5"/>
    </row>
    <row r="898" spans="1:9" ht="36" hidden="1">
      <c r="A898" s="27"/>
      <c r="B898" s="27"/>
      <c r="C898" s="26" t="s">
        <v>936</v>
      </c>
      <c r="D898" s="22" t="s">
        <v>1042</v>
      </c>
      <c r="E898" s="5"/>
      <c r="F898" s="5"/>
      <c r="G898" s="5"/>
      <c r="H898" s="5"/>
      <c r="I898" s="5"/>
    </row>
    <row r="899" spans="1:9" ht="15.75" hidden="1">
      <c r="A899" s="18">
        <v>2518300</v>
      </c>
      <c r="B899" s="18">
        <v>8300</v>
      </c>
      <c r="C899" s="130" t="s">
        <v>842</v>
      </c>
      <c r="D899" s="130"/>
      <c r="E899" s="5"/>
      <c r="F899" s="5"/>
      <c r="G899" s="5"/>
      <c r="H899" s="5"/>
      <c r="I899" s="5"/>
    </row>
    <row r="900" spans="1:9" ht="30" hidden="1">
      <c r="A900" s="16">
        <v>2518330</v>
      </c>
      <c r="B900" s="16">
        <v>8330</v>
      </c>
      <c r="C900" s="14" t="s">
        <v>574</v>
      </c>
      <c r="D900" s="17" t="s">
        <v>1043</v>
      </c>
      <c r="E900" s="5"/>
      <c r="F900" s="5"/>
      <c r="G900" s="5"/>
      <c r="H900" s="5"/>
      <c r="I900" s="5"/>
    </row>
    <row r="901" spans="1:9" ht="15.75" hidden="1">
      <c r="A901" s="18">
        <v>2510100</v>
      </c>
      <c r="B901" s="12" t="s">
        <v>261</v>
      </c>
      <c r="C901" s="130" t="s">
        <v>262</v>
      </c>
      <c r="D901" s="130"/>
      <c r="E901" s="5"/>
      <c r="F901" s="5"/>
      <c r="G901" s="5"/>
      <c r="H901" s="5"/>
      <c r="I901" s="5"/>
    </row>
    <row r="902" spans="1:9" ht="30" hidden="1">
      <c r="A902" s="16">
        <v>2510180</v>
      </c>
      <c r="B902" s="14" t="s">
        <v>941</v>
      </c>
      <c r="C902" s="14" t="s">
        <v>938</v>
      </c>
      <c r="D902" s="17" t="s">
        <v>272</v>
      </c>
      <c r="E902" s="5"/>
      <c r="F902" s="5"/>
      <c r="G902" s="5"/>
      <c r="H902" s="5"/>
      <c r="I902" s="5"/>
    </row>
    <row r="903" spans="1:9" ht="24" hidden="1">
      <c r="A903" s="31"/>
      <c r="B903" s="27"/>
      <c r="C903" s="26"/>
      <c r="D903" s="22" t="s">
        <v>1044</v>
      </c>
      <c r="E903" s="5"/>
      <c r="F903" s="5"/>
      <c r="G903" s="5"/>
      <c r="H903" s="5"/>
      <c r="I903" s="5"/>
    </row>
    <row r="904" spans="1:9" ht="36" hidden="1">
      <c r="A904" s="31"/>
      <c r="B904" s="27"/>
      <c r="C904" s="26"/>
      <c r="D904" s="22" t="s">
        <v>360</v>
      </c>
      <c r="E904" s="5"/>
      <c r="F904" s="5"/>
      <c r="G904" s="5"/>
      <c r="H904" s="5"/>
      <c r="I904" s="5"/>
    </row>
    <row r="905" spans="1:9" ht="65.25" customHeight="1" hidden="1">
      <c r="A905" s="16">
        <v>2517700</v>
      </c>
      <c r="B905" s="16">
        <v>7700</v>
      </c>
      <c r="C905" s="14" t="s">
        <v>938</v>
      </c>
      <c r="D905" s="103" t="s">
        <v>108</v>
      </c>
      <c r="E905" s="15" t="s">
        <v>756</v>
      </c>
      <c r="F905" s="5"/>
      <c r="G905" s="5"/>
      <c r="H905" s="5"/>
      <c r="I905" s="34">
        <v>400</v>
      </c>
    </row>
    <row r="906" spans="1:9" ht="29.25" customHeight="1" hidden="1">
      <c r="A906" s="131" t="s">
        <v>445</v>
      </c>
      <c r="B906" s="132"/>
      <c r="C906" s="132"/>
      <c r="D906" s="132"/>
      <c r="E906" s="133"/>
      <c r="F906" s="15"/>
      <c r="G906" s="15"/>
      <c r="H906" s="15"/>
      <c r="I906" s="64">
        <v>400</v>
      </c>
    </row>
    <row r="907" spans="1:13" ht="15.75" hidden="1">
      <c r="A907" s="18">
        <v>2900000</v>
      </c>
      <c r="B907" s="155" t="s">
        <v>361</v>
      </c>
      <c r="C907" s="155"/>
      <c r="D907" s="155"/>
      <c r="E907" s="5"/>
      <c r="F907" s="5"/>
      <c r="G907" s="5"/>
      <c r="H907" s="5"/>
      <c r="I907" s="77">
        <f>I908</f>
        <v>5773</v>
      </c>
      <c r="M907" s="113" t="e">
        <f>#REF!+#REF!+#REF!+#REF!</f>
        <v>#REF!</v>
      </c>
    </row>
    <row r="908" spans="1:9" s="36" customFormat="1" ht="15" hidden="1">
      <c r="A908" s="38">
        <v>2910000</v>
      </c>
      <c r="B908" s="154" t="s">
        <v>361</v>
      </c>
      <c r="C908" s="154"/>
      <c r="D908" s="154"/>
      <c r="E908" s="42"/>
      <c r="F908" s="42"/>
      <c r="G908" s="42"/>
      <c r="H908" s="42"/>
      <c r="I908" s="78">
        <f>I910+I916</f>
        <v>5773</v>
      </c>
    </row>
    <row r="909" spans="1:9" ht="49.5" customHeight="1" hidden="1">
      <c r="A909" s="18">
        <v>2918100</v>
      </c>
      <c r="B909" s="16">
        <v>8100</v>
      </c>
      <c r="C909" s="172" t="s">
        <v>178</v>
      </c>
      <c r="D909" s="172"/>
      <c r="E909" s="11"/>
      <c r="F909" s="11"/>
      <c r="G909" s="11"/>
      <c r="H909" s="11"/>
      <c r="I909" s="56"/>
    </row>
    <row r="910" spans="1:9" ht="47.25" hidden="1">
      <c r="A910" s="16">
        <v>2918110</v>
      </c>
      <c r="B910" s="16">
        <v>8110</v>
      </c>
      <c r="C910" s="14" t="s">
        <v>179</v>
      </c>
      <c r="D910" s="103" t="s">
        <v>180</v>
      </c>
      <c r="E910" s="15" t="s">
        <v>756</v>
      </c>
      <c r="F910" s="5"/>
      <c r="G910" s="5"/>
      <c r="H910" s="5"/>
      <c r="I910" s="34">
        <v>3838</v>
      </c>
    </row>
    <row r="911" spans="1:9" ht="30.75" customHeight="1" hidden="1">
      <c r="A911" s="144" t="s">
        <v>370</v>
      </c>
      <c r="B911" s="144"/>
      <c r="C911" s="144"/>
      <c r="D911" s="144"/>
      <c r="E911" s="144"/>
      <c r="F911" s="5"/>
      <c r="G911" s="5"/>
      <c r="H911" s="5"/>
      <c r="I911" s="55"/>
    </row>
    <row r="912" spans="1:9" ht="30.75" customHeight="1" hidden="1">
      <c r="A912" s="144" t="s">
        <v>616</v>
      </c>
      <c r="B912" s="144"/>
      <c r="C912" s="144"/>
      <c r="D912" s="144"/>
      <c r="E912" s="144"/>
      <c r="F912" s="5"/>
      <c r="G912" s="5"/>
      <c r="H912" s="5"/>
      <c r="I912" s="116">
        <f>688+69.0506</f>
        <v>757.0506</v>
      </c>
    </row>
    <row r="913" spans="1:9" ht="37.5" customHeight="1" hidden="1">
      <c r="A913" s="144" t="s">
        <v>362</v>
      </c>
      <c r="B913" s="144"/>
      <c r="C913" s="144"/>
      <c r="D913" s="144"/>
      <c r="E913" s="144"/>
      <c r="F913" s="5"/>
      <c r="G913" s="5"/>
      <c r="H913" s="5"/>
      <c r="I913" s="55"/>
    </row>
    <row r="914" spans="1:9" ht="39" customHeight="1" hidden="1">
      <c r="A914" s="144" t="s">
        <v>525</v>
      </c>
      <c r="B914" s="144"/>
      <c r="C914" s="144"/>
      <c r="D914" s="144"/>
      <c r="E914" s="144"/>
      <c r="F914" s="5"/>
      <c r="G914" s="5"/>
      <c r="H914" s="5"/>
      <c r="I914" s="55"/>
    </row>
    <row r="915" spans="1:9" ht="34.5" customHeight="1" hidden="1">
      <c r="A915" s="144" t="s">
        <v>672</v>
      </c>
      <c r="B915" s="144"/>
      <c r="C915" s="144"/>
      <c r="D915" s="144"/>
      <c r="E915" s="144"/>
      <c r="F915" s="5"/>
      <c r="G915" s="5"/>
      <c r="H915" s="5"/>
      <c r="I915" s="116">
        <f>200-69.0506</f>
        <v>130.9494</v>
      </c>
    </row>
    <row r="916" spans="1:9" s="83" customFormat="1" ht="24.75" customHeight="1" hidden="1">
      <c r="A916" s="18">
        <v>2918200</v>
      </c>
      <c r="B916" s="18">
        <v>8200</v>
      </c>
      <c r="C916" s="175" t="s">
        <v>799</v>
      </c>
      <c r="D916" s="176"/>
      <c r="E916" s="117"/>
      <c r="F916" s="5"/>
      <c r="G916" s="5"/>
      <c r="H916" s="5"/>
      <c r="I916" s="118">
        <f>I917</f>
        <v>1935</v>
      </c>
    </row>
    <row r="917" spans="1:9" ht="45" customHeight="1" hidden="1">
      <c r="A917" s="119">
        <v>2918220</v>
      </c>
      <c r="B917" s="119">
        <v>8220</v>
      </c>
      <c r="C917" s="119" t="s">
        <v>800</v>
      </c>
      <c r="D917" s="120" t="s">
        <v>801</v>
      </c>
      <c r="E917" s="71" t="s">
        <v>802</v>
      </c>
      <c r="F917" s="5"/>
      <c r="G917" s="5"/>
      <c r="H917" s="5"/>
      <c r="I917" s="55">
        <f>I918+I919</f>
        <v>1935</v>
      </c>
    </row>
    <row r="918" spans="1:9" ht="45" customHeight="1" hidden="1">
      <c r="A918" s="163" t="s">
        <v>855</v>
      </c>
      <c r="B918" s="164"/>
      <c r="C918" s="164"/>
      <c r="D918" s="164"/>
      <c r="E918" s="165"/>
      <c r="F918" s="5"/>
      <c r="G918" s="5"/>
      <c r="H918" s="5"/>
      <c r="I918" s="55">
        <f>830+560</f>
        <v>1390</v>
      </c>
    </row>
    <row r="919" spans="1:9" ht="27.75" customHeight="1" hidden="1">
      <c r="A919" s="144" t="s">
        <v>616</v>
      </c>
      <c r="B919" s="144"/>
      <c r="C919" s="144"/>
      <c r="D919" s="144"/>
      <c r="E919" s="144"/>
      <c r="F919" s="5"/>
      <c r="G919" s="5"/>
      <c r="H919" s="5"/>
      <c r="I919" s="55">
        <v>545</v>
      </c>
    </row>
    <row r="920" spans="1:9" ht="39" customHeight="1" hidden="1">
      <c r="A920" s="18" t="s">
        <v>181</v>
      </c>
      <c r="B920" s="166" t="s">
        <v>182</v>
      </c>
      <c r="C920" s="166"/>
      <c r="D920" s="166"/>
      <c r="E920" s="5"/>
      <c r="F920" s="5"/>
      <c r="G920" s="5"/>
      <c r="H920" s="5"/>
      <c r="I920" s="40"/>
    </row>
    <row r="921" spans="1:9" ht="39.75" customHeight="1" hidden="1">
      <c r="A921" s="38" t="s">
        <v>183</v>
      </c>
      <c r="B921" s="154" t="s">
        <v>182</v>
      </c>
      <c r="C921" s="154"/>
      <c r="D921" s="154"/>
      <c r="E921" s="5"/>
      <c r="F921" s="5"/>
      <c r="G921" s="5"/>
      <c r="H921" s="5"/>
      <c r="I921" s="41"/>
    </row>
    <row r="922" spans="1:9" ht="15.75" hidden="1">
      <c r="A922" s="12" t="s">
        <v>184</v>
      </c>
      <c r="B922" s="18">
        <v>8400</v>
      </c>
      <c r="C922" s="130" t="s">
        <v>185</v>
      </c>
      <c r="D922" s="130"/>
      <c r="E922" s="5"/>
      <c r="F922" s="5"/>
      <c r="G922" s="5"/>
      <c r="H922" s="5"/>
      <c r="I922" s="35"/>
    </row>
    <row r="923" spans="1:9" ht="30" hidden="1">
      <c r="A923" s="14" t="s">
        <v>186</v>
      </c>
      <c r="B923" s="14" t="s">
        <v>187</v>
      </c>
      <c r="C923" s="14" t="s">
        <v>188</v>
      </c>
      <c r="D923" s="17" t="s">
        <v>189</v>
      </c>
      <c r="E923" s="15" t="s">
        <v>756</v>
      </c>
      <c r="F923" s="5"/>
      <c r="G923" s="5"/>
      <c r="H923" s="5"/>
      <c r="I923" s="112">
        <v>26</v>
      </c>
    </row>
    <row r="924" spans="1:9" ht="15.75" hidden="1">
      <c r="A924" s="147" t="s">
        <v>141</v>
      </c>
      <c r="B924" s="161"/>
      <c r="C924" s="161"/>
      <c r="D924" s="161"/>
      <c r="E924" s="162"/>
      <c r="F924" s="5"/>
      <c r="G924" s="5"/>
      <c r="H924" s="5"/>
      <c r="I924" s="74">
        <v>14.718</v>
      </c>
    </row>
    <row r="925" spans="1:9" ht="39" customHeight="1" hidden="1">
      <c r="A925" s="147" t="s">
        <v>93</v>
      </c>
      <c r="B925" s="161"/>
      <c r="C925" s="161"/>
      <c r="D925" s="161"/>
      <c r="E925" s="162"/>
      <c r="F925" s="5"/>
      <c r="G925" s="5"/>
      <c r="H925" s="5"/>
      <c r="I925" s="74">
        <f>10-10</f>
        <v>0</v>
      </c>
    </row>
    <row r="926" spans="1:9" ht="33.75" customHeight="1" hidden="1">
      <c r="A926" s="147" t="s">
        <v>536</v>
      </c>
      <c r="B926" s="161"/>
      <c r="C926" s="161"/>
      <c r="D926" s="161"/>
      <c r="E926" s="162"/>
      <c r="F926" s="5"/>
      <c r="G926" s="5"/>
      <c r="H926" s="5"/>
      <c r="I926" s="74">
        <f>16-4.718</f>
        <v>11.282</v>
      </c>
    </row>
    <row r="927" spans="1:9" ht="30" hidden="1">
      <c r="A927" s="14" t="s">
        <v>190</v>
      </c>
      <c r="B927" s="14" t="s">
        <v>191</v>
      </c>
      <c r="C927" s="14" t="s">
        <v>192</v>
      </c>
      <c r="D927" s="17" t="s">
        <v>193</v>
      </c>
      <c r="E927" s="5"/>
      <c r="F927" s="5"/>
      <c r="G927" s="5"/>
      <c r="H927" s="5"/>
      <c r="I927" s="5"/>
    </row>
    <row r="928" spans="1:9" ht="15.75" hidden="1">
      <c r="A928" s="12"/>
      <c r="B928" s="14"/>
      <c r="C928" s="14"/>
      <c r="D928" s="15"/>
      <c r="E928" s="5"/>
      <c r="F928" s="5"/>
      <c r="G928" s="5"/>
      <c r="H928" s="5"/>
      <c r="I928" s="5"/>
    </row>
    <row r="929" spans="1:9" ht="46.5" customHeight="1" hidden="1">
      <c r="A929" s="174" t="s">
        <v>194</v>
      </c>
      <c r="B929" s="174"/>
      <c r="C929" s="174"/>
      <c r="D929" s="174"/>
      <c r="E929" s="5"/>
      <c r="F929" s="5"/>
      <c r="G929" s="5"/>
      <c r="H929" s="5"/>
      <c r="I929" s="5"/>
    </row>
    <row r="930" spans="1:9" ht="36" hidden="1">
      <c r="A930" s="31"/>
      <c r="B930" s="27"/>
      <c r="C930" s="26"/>
      <c r="D930" s="22" t="s">
        <v>195</v>
      </c>
      <c r="E930" s="5"/>
      <c r="F930" s="5"/>
      <c r="G930" s="5"/>
      <c r="H930" s="5"/>
      <c r="I930" s="5"/>
    </row>
    <row r="931" spans="1:9" ht="24" hidden="1">
      <c r="A931" s="31"/>
      <c r="B931" s="27"/>
      <c r="C931" s="26"/>
      <c r="D931" s="22" t="s">
        <v>196</v>
      </c>
      <c r="E931" s="5"/>
      <c r="F931" s="5"/>
      <c r="G931" s="5"/>
      <c r="H931" s="5"/>
      <c r="I931" s="5"/>
    </row>
    <row r="932" spans="1:9" ht="36" hidden="1">
      <c r="A932" s="31"/>
      <c r="B932" s="27"/>
      <c r="C932" s="26"/>
      <c r="D932" s="22" t="s">
        <v>197</v>
      </c>
      <c r="E932" s="5"/>
      <c r="F932" s="5"/>
      <c r="G932" s="5"/>
      <c r="H932" s="5"/>
      <c r="I932" s="5"/>
    </row>
    <row r="933" spans="1:9" ht="33.75" customHeight="1" hidden="1">
      <c r="A933" s="159" t="s">
        <v>93</v>
      </c>
      <c r="B933" s="159"/>
      <c r="C933" s="159"/>
      <c r="D933" s="159"/>
      <c r="E933" s="159"/>
      <c r="F933" s="15"/>
      <c r="G933" s="15"/>
      <c r="H933" s="15"/>
      <c r="I933" s="56"/>
    </row>
    <row r="934" spans="1:9" ht="27.75" customHeight="1" hidden="1">
      <c r="A934" s="159" t="s">
        <v>536</v>
      </c>
      <c r="B934" s="159"/>
      <c r="C934" s="159"/>
      <c r="D934" s="159"/>
      <c r="E934" s="159"/>
      <c r="F934" s="15"/>
      <c r="G934" s="15"/>
      <c r="H934" s="15"/>
      <c r="I934" s="56"/>
    </row>
    <row r="935" spans="1:9" ht="16.5" hidden="1">
      <c r="A935" s="18">
        <v>3700000</v>
      </c>
      <c r="B935" s="166" t="s">
        <v>198</v>
      </c>
      <c r="C935" s="166"/>
      <c r="D935" s="166"/>
      <c r="E935" s="5"/>
      <c r="F935" s="5"/>
      <c r="G935" s="5"/>
      <c r="H935" s="5"/>
      <c r="I935" s="40"/>
    </row>
    <row r="936" spans="1:9" ht="15.75" hidden="1">
      <c r="A936" s="38">
        <v>3710000</v>
      </c>
      <c r="B936" s="154" t="s">
        <v>198</v>
      </c>
      <c r="C936" s="154"/>
      <c r="D936" s="154"/>
      <c r="E936" s="5"/>
      <c r="F936" s="5"/>
      <c r="G936" s="5"/>
      <c r="H936" s="5"/>
      <c r="I936" s="41"/>
    </row>
    <row r="937" spans="1:9" ht="15.75" hidden="1">
      <c r="A937" s="18">
        <v>3718000</v>
      </c>
      <c r="B937" s="18">
        <v>8000</v>
      </c>
      <c r="C937" s="130" t="s">
        <v>199</v>
      </c>
      <c r="D937" s="130"/>
      <c r="E937" s="5"/>
      <c r="F937" s="5"/>
      <c r="G937" s="5"/>
      <c r="H937" s="5"/>
      <c r="I937" s="5"/>
    </row>
    <row r="938" spans="1:9" ht="15.75" hidden="1">
      <c r="A938" s="16">
        <v>3718700</v>
      </c>
      <c r="B938" s="16">
        <v>8700</v>
      </c>
      <c r="C938" s="14" t="s">
        <v>938</v>
      </c>
      <c r="D938" s="15" t="s">
        <v>200</v>
      </c>
      <c r="E938" s="5"/>
      <c r="F938" s="5"/>
      <c r="G938" s="5"/>
      <c r="H938" s="5"/>
      <c r="I938" s="5"/>
    </row>
    <row r="939" spans="1:9" ht="15.75" hidden="1">
      <c r="A939" s="18">
        <v>3719000</v>
      </c>
      <c r="B939" s="18">
        <v>9000</v>
      </c>
      <c r="C939" s="160" t="s">
        <v>201</v>
      </c>
      <c r="D939" s="160"/>
      <c r="E939" s="5"/>
      <c r="F939" s="5"/>
      <c r="G939" s="5"/>
      <c r="H939" s="5"/>
      <c r="I939" s="56"/>
    </row>
    <row r="940" spans="1:9" ht="15.75" hidden="1">
      <c r="A940" s="18">
        <v>3719100</v>
      </c>
      <c r="B940" s="18">
        <v>9100</v>
      </c>
      <c r="C940" s="160" t="s">
        <v>202</v>
      </c>
      <c r="D940" s="160"/>
      <c r="E940" s="5"/>
      <c r="F940" s="5"/>
      <c r="G940" s="5"/>
      <c r="H940" s="5"/>
      <c r="I940" s="5"/>
    </row>
    <row r="941" spans="1:9" ht="45" hidden="1">
      <c r="A941" s="16">
        <v>3719120</v>
      </c>
      <c r="B941" s="16">
        <v>9120</v>
      </c>
      <c r="C941" s="14" t="s">
        <v>941</v>
      </c>
      <c r="D941" s="67" t="s">
        <v>496</v>
      </c>
      <c r="E941" s="5"/>
      <c r="F941" s="5"/>
      <c r="G941" s="5"/>
      <c r="H941" s="5"/>
      <c r="I941" s="5"/>
    </row>
    <row r="942" spans="1:9" ht="90" hidden="1">
      <c r="A942" s="16">
        <v>3719130</v>
      </c>
      <c r="B942" s="16">
        <v>9130</v>
      </c>
      <c r="C942" s="14" t="s">
        <v>941</v>
      </c>
      <c r="D942" s="67" t="s">
        <v>589</v>
      </c>
      <c r="E942" s="5"/>
      <c r="F942" s="5"/>
      <c r="G942" s="5"/>
      <c r="H942" s="5"/>
      <c r="I942" s="5"/>
    </row>
    <row r="943" spans="1:9" ht="71.25" hidden="1">
      <c r="A943" s="18">
        <v>3719200</v>
      </c>
      <c r="B943" s="18">
        <v>9200</v>
      </c>
      <c r="C943" s="12" t="s">
        <v>941</v>
      </c>
      <c r="D943" s="23" t="s">
        <v>610</v>
      </c>
      <c r="E943" s="5"/>
      <c r="F943" s="5"/>
      <c r="G943" s="5"/>
      <c r="H943" s="5"/>
      <c r="I943" s="5"/>
    </row>
    <row r="944" spans="1:9" ht="165" hidden="1">
      <c r="A944" s="16">
        <v>3719210</v>
      </c>
      <c r="B944" s="16">
        <v>9210</v>
      </c>
      <c r="C944" s="14" t="s">
        <v>941</v>
      </c>
      <c r="D944" s="67" t="s">
        <v>611</v>
      </c>
      <c r="E944" s="5"/>
      <c r="F944" s="5"/>
      <c r="G944" s="5"/>
      <c r="H944" s="5"/>
      <c r="I944" s="5"/>
    </row>
    <row r="945" spans="1:9" ht="90" hidden="1">
      <c r="A945" s="16">
        <v>3719220</v>
      </c>
      <c r="B945" s="16">
        <v>9220</v>
      </c>
      <c r="C945" s="14" t="s">
        <v>941</v>
      </c>
      <c r="D945" s="67" t="s">
        <v>1081</v>
      </c>
      <c r="E945" s="5"/>
      <c r="F945" s="5"/>
      <c r="G945" s="5"/>
      <c r="H945" s="5"/>
      <c r="I945" s="5"/>
    </row>
    <row r="946" spans="1:9" ht="135" hidden="1">
      <c r="A946" s="16">
        <v>3719230</v>
      </c>
      <c r="B946" s="16">
        <v>9230</v>
      </c>
      <c r="C946" s="14" t="s">
        <v>941</v>
      </c>
      <c r="D946" s="67" t="s">
        <v>292</v>
      </c>
      <c r="E946" s="5"/>
      <c r="F946" s="5"/>
      <c r="G946" s="5"/>
      <c r="H946" s="5"/>
      <c r="I946" s="5"/>
    </row>
    <row r="947" spans="1:9" ht="285" hidden="1">
      <c r="A947" s="16">
        <v>3719240</v>
      </c>
      <c r="B947" s="16">
        <v>9240</v>
      </c>
      <c r="C947" s="14" t="s">
        <v>941</v>
      </c>
      <c r="D947" s="17" t="s">
        <v>835</v>
      </c>
      <c r="E947" s="5"/>
      <c r="F947" s="5"/>
      <c r="G947" s="5"/>
      <c r="H947" s="5"/>
      <c r="I947" s="5"/>
    </row>
    <row r="948" spans="1:9" ht="225" hidden="1">
      <c r="A948" s="16">
        <v>3719250</v>
      </c>
      <c r="B948" s="16">
        <v>9250</v>
      </c>
      <c r="C948" s="14" t="s">
        <v>941</v>
      </c>
      <c r="D948" s="17" t="s">
        <v>903</v>
      </c>
      <c r="E948" s="5"/>
      <c r="F948" s="5"/>
      <c r="G948" s="5"/>
      <c r="H948" s="5"/>
      <c r="I948" s="5"/>
    </row>
    <row r="949" spans="1:9" ht="180" hidden="1">
      <c r="A949" s="16">
        <v>3719270</v>
      </c>
      <c r="B949" s="16">
        <v>9270</v>
      </c>
      <c r="C949" s="14" t="s">
        <v>941</v>
      </c>
      <c r="D949" s="17" t="s">
        <v>109</v>
      </c>
      <c r="E949" s="5"/>
      <c r="F949" s="5"/>
      <c r="G949" s="5"/>
      <c r="H949" s="5"/>
      <c r="I949" s="5"/>
    </row>
    <row r="950" spans="1:9" ht="71.25" hidden="1">
      <c r="A950" s="18">
        <v>3719300</v>
      </c>
      <c r="B950" s="18">
        <v>9300</v>
      </c>
      <c r="C950" s="12" t="s">
        <v>941</v>
      </c>
      <c r="D950" s="104" t="s">
        <v>775</v>
      </c>
      <c r="E950" s="5"/>
      <c r="F950" s="5"/>
      <c r="G950" s="5"/>
      <c r="H950" s="5"/>
      <c r="I950" s="5"/>
    </row>
    <row r="951" spans="1:9" ht="60" hidden="1">
      <c r="A951" s="16">
        <v>3719310</v>
      </c>
      <c r="B951" s="16">
        <v>9310</v>
      </c>
      <c r="C951" s="14" t="s">
        <v>941</v>
      </c>
      <c r="D951" s="67" t="s">
        <v>776</v>
      </c>
      <c r="E951" s="5"/>
      <c r="F951" s="5"/>
      <c r="G951" s="5"/>
      <c r="H951" s="5"/>
      <c r="I951" s="5"/>
    </row>
    <row r="952" spans="1:9" ht="60" hidden="1">
      <c r="A952" s="16">
        <v>3719320</v>
      </c>
      <c r="B952" s="16">
        <v>9320</v>
      </c>
      <c r="C952" s="14" t="s">
        <v>941</v>
      </c>
      <c r="D952" s="67" t="s">
        <v>341</v>
      </c>
      <c r="E952" s="5"/>
      <c r="F952" s="5"/>
      <c r="G952" s="5"/>
      <c r="H952" s="5"/>
      <c r="I952" s="5"/>
    </row>
    <row r="953" spans="1:9" ht="75" hidden="1">
      <c r="A953" s="16">
        <v>3719330</v>
      </c>
      <c r="B953" s="16">
        <v>9330</v>
      </c>
      <c r="C953" s="14" t="s">
        <v>941</v>
      </c>
      <c r="D953" s="67" t="s">
        <v>342</v>
      </c>
      <c r="E953" s="5"/>
      <c r="F953" s="5"/>
      <c r="G953" s="5"/>
      <c r="H953" s="5"/>
      <c r="I953" s="5"/>
    </row>
    <row r="954" spans="1:9" ht="71.25" hidden="1">
      <c r="A954" s="18">
        <v>3719400</v>
      </c>
      <c r="B954" s="18">
        <v>9400</v>
      </c>
      <c r="C954" s="12" t="s">
        <v>941</v>
      </c>
      <c r="D954" s="104" t="s">
        <v>1034</v>
      </c>
      <c r="E954" s="5"/>
      <c r="F954" s="5"/>
      <c r="G954" s="5"/>
      <c r="H954" s="5"/>
      <c r="I954" s="5"/>
    </row>
    <row r="955" spans="1:9" ht="60" hidden="1">
      <c r="A955" s="16">
        <v>3719410</v>
      </c>
      <c r="B955" s="16">
        <v>9410</v>
      </c>
      <c r="C955" s="14" t="s">
        <v>941</v>
      </c>
      <c r="D955" s="67" t="s">
        <v>603</v>
      </c>
      <c r="E955" s="5"/>
      <c r="F955" s="5"/>
      <c r="G955" s="5"/>
      <c r="H955" s="5"/>
      <c r="I955" s="5"/>
    </row>
    <row r="956" spans="1:9" ht="60" hidden="1">
      <c r="A956" s="16">
        <v>3719450</v>
      </c>
      <c r="B956" s="16">
        <v>9450</v>
      </c>
      <c r="C956" s="14" t="s">
        <v>941</v>
      </c>
      <c r="D956" s="67" t="s">
        <v>604</v>
      </c>
      <c r="E956" s="5"/>
      <c r="F956" s="5"/>
      <c r="G956" s="5"/>
      <c r="H956" s="5"/>
      <c r="I956" s="5"/>
    </row>
    <row r="957" spans="1:9" ht="75" hidden="1">
      <c r="A957" s="16">
        <v>3719460</v>
      </c>
      <c r="B957" s="16">
        <v>9460</v>
      </c>
      <c r="C957" s="14" t="s">
        <v>941</v>
      </c>
      <c r="D957" s="67" t="s">
        <v>783</v>
      </c>
      <c r="E957" s="5"/>
      <c r="F957" s="5"/>
      <c r="G957" s="5"/>
      <c r="H957" s="5"/>
      <c r="I957" s="5"/>
    </row>
    <row r="958" spans="1:9" ht="90" hidden="1">
      <c r="A958" s="16">
        <v>3719480</v>
      </c>
      <c r="B958" s="16">
        <v>9480</v>
      </c>
      <c r="C958" s="14" t="s">
        <v>941</v>
      </c>
      <c r="D958" s="17" t="s">
        <v>784</v>
      </c>
      <c r="E958" s="5"/>
      <c r="F958" s="5"/>
      <c r="G958" s="5"/>
      <c r="H958" s="5"/>
      <c r="I958" s="5"/>
    </row>
    <row r="959" spans="1:9" ht="114.75" customHeight="1" hidden="1">
      <c r="A959" s="16">
        <v>3719490</v>
      </c>
      <c r="B959" s="16">
        <v>9490</v>
      </c>
      <c r="C959" s="14" t="s">
        <v>941</v>
      </c>
      <c r="D959" s="17" t="s">
        <v>160</v>
      </c>
      <c r="E959" s="16" t="s">
        <v>756</v>
      </c>
      <c r="F959" s="5"/>
      <c r="G959" s="5"/>
      <c r="H959" s="5"/>
      <c r="I959" s="97">
        <v>3385.23</v>
      </c>
    </row>
    <row r="960" spans="1:9" ht="86.25" customHeight="1" hidden="1">
      <c r="A960" s="18">
        <v>3719500</v>
      </c>
      <c r="B960" s="18">
        <v>9500</v>
      </c>
      <c r="C960" s="12" t="s">
        <v>941</v>
      </c>
      <c r="D960" s="104" t="s">
        <v>785</v>
      </c>
      <c r="E960" s="5"/>
      <c r="F960" s="5"/>
      <c r="G960" s="5"/>
      <c r="H960" s="5"/>
      <c r="I960" s="5"/>
    </row>
    <row r="961" spans="1:9" ht="60" hidden="1">
      <c r="A961" s="16">
        <v>3719510</v>
      </c>
      <c r="B961" s="16">
        <v>9510</v>
      </c>
      <c r="C961" s="14" t="s">
        <v>941</v>
      </c>
      <c r="D961" s="67" t="s">
        <v>50</v>
      </c>
      <c r="E961" s="15" t="s">
        <v>756</v>
      </c>
      <c r="F961" s="5"/>
      <c r="G961" s="5"/>
      <c r="H961" s="5"/>
      <c r="I961" s="55"/>
    </row>
    <row r="962" spans="1:9" ht="75" hidden="1">
      <c r="A962" s="16">
        <v>3719540</v>
      </c>
      <c r="B962" s="16">
        <v>9540</v>
      </c>
      <c r="C962" s="14" t="s">
        <v>941</v>
      </c>
      <c r="D962" s="17" t="s">
        <v>318</v>
      </c>
      <c r="E962" s="5"/>
      <c r="F962" s="5"/>
      <c r="G962" s="5"/>
      <c r="H962" s="5"/>
      <c r="I962" s="5"/>
    </row>
    <row r="963" spans="1:9" ht="105" hidden="1">
      <c r="A963" s="16">
        <v>3719570</v>
      </c>
      <c r="B963" s="16">
        <v>9570</v>
      </c>
      <c r="C963" s="14" t="s">
        <v>941</v>
      </c>
      <c r="D963" s="17" t="s">
        <v>389</v>
      </c>
      <c r="E963" s="5"/>
      <c r="F963" s="5"/>
      <c r="G963" s="5"/>
      <c r="H963" s="5"/>
      <c r="I963" s="5"/>
    </row>
    <row r="964" spans="1:9" ht="28.5" hidden="1">
      <c r="A964" s="18">
        <v>3719800</v>
      </c>
      <c r="B964" s="18">
        <v>9800</v>
      </c>
      <c r="C964" s="12" t="s">
        <v>941</v>
      </c>
      <c r="D964" s="128" t="s">
        <v>390</v>
      </c>
      <c r="E964" s="5"/>
      <c r="F964" s="5"/>
      <c r="G964" s="5"/>
      <c r="H964" s="5"/>
      <c r="I964" s="34">
        <v>15476.22</v>
      </c>
    </row>
    <row r="965" spans="1:9" ht="60" hidden="1">
      <c r="A965" s="16">
        <v>3719800</v>
      </c>
      <c r="B965" s="16">
        <v>9800</v>
      </c>
      <c r="C965" s="14" t="s">
        <v>941</v>
      </c>
      <c r="D965" s="15" t="s">
        <v>391</v>
      </c>
      <c r="E965" s="5"/>
      <c r="F965" s="5"/>
      <c r="G965" s="5"/>
      <c r="H965" s="5"/>
      <c r="I965" s="5"/>
    </row>
    <row r="966" spans="1:9" ht="45" hidden="1">
      <c r="A966" s="16">
        <v>3719800</v>
      </c>
      <c r="B966" s="16">
        <v>9800</v>
      </c>
      <c r="C966" s="14" t="s">
        <v>941</v>
      </c>
      <c r="D966" s="15" t="s">
        <v>224</v>
      </c>
      <c r="E966" s="5"/>
      <c r="F966" s="5"/>
      <c r="G966" s="5"/>
      <c r="H966" s="5"/>
      <c r="I966" s="34"/>
    </row>
    <row r="967" spans="1:9" ht="15.75" customHeight="1" hidden="1">
      <c r="A967" s="159" t="s">
        <v>225</v>
      </c>
      <c r="B967" s="159"/>
      <c r="C967" s="159"/>
      <c r="D967" s="159"/>
      <c r="E967" s="159"/>
      <c r="F967" s="5"/>
      <c r="G967" s="5"/>
      <c r="H967" s="5"/>
      <c r="I967" s="34"/>
    </row>
    <row r="968" spans="1:9" ht="15.75" customHeight="1" hidden="1">
      <c r="A968" s="159" t="s">
        <v>226</v>
      </c>
      <c r="B968" s="159"/>
      <c r="C968" s="159"/>
      <c r="D968" s="159"/>
      <c r="E968" s="159"/>
      <c r="F968" s="5"/>
      <c r="G968" s="5"/>
      <c r="H968" s="5"/>
      <c r="I968" s="34"/>
    </row>
    <row r="969" spans="1:9" ht="15.75" customHeight="1" hidden="1">
      <c r="A969" s="159" t="s">
        <v>227</v>
      </c>
      <c r="B969" s="159"/>
      <c r="C969" s="159"/>
      <c r="D969" s="159"/>
      <c r="E969" s="159"/>
      <c r="F969" s="5"/>
      <c r="G969" s="5"/>
      <c r="H969" s="5"/>
      <c r="I969" s="34"/>
    </row>
    <row r="970" spans="1:9" ht="15.75" hidden="1">
      <c r="A970" s="167" t="s">
        <v>228</v>
      </c>
      <c r="B970" s="167"/>
      <c r="C970" s="167"/>
      <c r="D970" s="167"/>
      <c r="E970" s="5"/>
      <c r="F970" s="5"/>
      <c r="G970" s="5"/>
      <c r="H970" s="5"/>
      <c r="I970" s="5"/>
    </row>
    <row r="971" spans="1:9" ht="38.25" hidden="1">
      <c r="A971" s="16">
        <v>3719800</v>
      </c>
      <c r="B971" s="16">
        <v>9800</v>
      </c>
      <c r="C971" s="14" t="s">
        <v>941</v>
      </c>
      <c r="D971" s="124" t="s">
        <v>229</v>
      </c>
      <c r="E971" s="5"/>
      <c r="F971" s="5"/>
      <c r="G971" s="5"/>
      <c r="H971" s="5"/>
      <c r="I971" s="5"/>
    </row>
    <row r="972" spans="1:9" ht="94.5" hidden="1">
      <c r="A972" s="16">
        <v>3719800</v>
      </c>
      <c r="B972" s="16">
        <v>9800</v>
      </c>
      <c r="C972" s="14" t="s">
        <v>941</v>
      </c>
      <c r="D972" s="129" t="s">
        <v>383</v>
      </c>
      <c r="E972" s="15" t="s">
        <v>756</v>
      </c>
      <c r="F972" s="61"/>
      <c r="G972" s="5"/>
      <c r="H972" s="5"/>
      <c r="I972" s="97">
        <v>11670.5</v>
      </c>
    </row>
    <row r="973" spans="1:9" s="106" customFormat="1" ht="39" customHeight="1" hidden="1">
      <c r="A973" s="131" t="s">
        <v>453</v>
      </c>
      <c r="B973" s="132"/>
      <c r="C973" s="132"/>
      <c r="D973" s="132"/>
      <c r="E973" s="133"/>
      <c r="F973" s="61"/>
      <c r="G973" s="61"/>
      <c r="H973" s="61"/>
      <c r="I973" s="65">
        <v>450</v>
      </c>
    </row>
    <row r="974" spans="1:9" ht="15.75" customHeight="1" hidden="1">
      <c r="A974" s="131" t="s">
        <v>137</v>
      </c>
      <c r="B974" s="132"/>
      <c r="C974" s="132"/>
      <c r="D974" s="132"/>
      <c r="E974" s="133"/>
      <c r="F974" s="5"/>
      <c r="G974" s="5"/>
      <c r="H974" s="5"/>
      <c r="I974" s="65">
        <v>150</v>
      </c>
    </row>
    <row r="975" spans="1:9" ht="15.75" customHeight="1" hidden="1">
      <c r="A975" s="131" t="s">
        <v>455</v>
      </c>
      <c r="B975" s="132"/>
      <c r="C975" s="132"/>
      <c r="D975" s="132"/>
      <c r="E975" s="133"/>
      <c r="F975" s="5"/>
      <c r="G975" s="5"/>
      <c r="H975" s="5"/>
      <c r="I975" s="74"/>
    </row>
    <row r="976" spans="1:9" ht="15.75" customHeight="1" hidden="1">
      <c r="A976" s="131" t="s">
        <v>454</v>
      </c>
      <c r="B976" s="132"/>
      <c r="C976" s="132"/>
      <c r="D976" s="132"/>
      <c r="E976" s="133"/>
      <c r="F976" s="5"/>
      <c r="G976" s="5"/>
      <c r="H976" s="5"/>
      <c r="I976" s="65">
        <v>1240</v>
      </c>
    </row>
    <row r="977" spans="1:9" ht="64.5" customHeight="1" hidden="1">
      <c r="A977" s="131" t="s">
        <v>448</v>
      </c>
      <c r="B977" s="132"/>
      <c r="C977" s="132"/>
      <c r="D977" s="132"/>
      <c r="E977" s="133"/>
      <c r="F977" s="5"/>
      <c r="G977" s="5"/>
      <c r="H977" s="5"/>
      <c r="I977" s="65"/>
    </row>
    <row r="978" spans="1:9" ht="20.25" customHeight="1" hidden="1">
      <c r="A978" s="131" t="s">
        <v>456</v>
      </c>
      <c r="B978" s="132"/>
      <c r="C978" s="132"/>
      <c r="D978" s="132"/>
      <c r="E978" s="133"/>
      <c r="F978" s="5"/>
      <c r="G978" s="5"/>
      <c r="H978" s="5"/>
      <c r="I978" s="65">
        <v>3100</v>
      </c>
    </row>
    <row r="979" spans="1:9" ht="30.75" customHeight="1" hidden="1">
      <c r="A979" s="159" t="s">
        <v>449</v>
      </c>
      <c r="B979" s="159"/>
      <c r="C979" s="159"/>
      <c r="D979" s="159"/>
      <c r="E979" s="159"/>
      <c r="F979" s="5"/>
      <c r="G979" s="5"/>
      <c r="H979" s="5"/>
      <c r="I979" s="65">
        <v>1600</v>
      </c>
    </row>
    <row r="980" spans="1:9" ht="30.75" customHeight="1" hidden="1">
      <c r="A980" s="159" t="s">
        <v>385</v>
      </c>
      <c r="B980" s="159"/>
      <c r="C980" s="159"/>
      <c r="D980" s="159"/>
      <c r="E980" s="159"/>
      <c r="F980" s="5"/>
      <c r="G980" s="5"/>
      <c r="H980" s="5"/>
      <c r="I980" s="65">
        <v>1000</v>
      </c>
    </row>
    <row r="981" spans="1:9" ht="44.25" customHeight="1" hidden="1">
      <c r="A981" s="159" t="s">
        <v>708</v>
      </c>
      <c r="B981" s="159"/>
      <c r="C981" s="159"/>
      <c r="D981" s="159"/>
      <c r="E981" s="159"/>
      <c r="F981" s="5"/>
      <c r="G981" s="5"/>
      <c r="H981" s="5"/>
      <c r="I981" s="65">
        <f>500-500</f>
        <v>0</v>
      </c>
    </row>
    <row r="982" spans="1:9" ht="28.5" customHeight="1" hidden="1">
      <c r="A982" s="159" t="s">
        <v>138</v>
      </c>
      <c r="B982" s="159"/>
      <c r="C982" s="159"/>
      <c r="D982" s="159"/>
      <c r="E982" s="15"/>
      <c r="F982" s="5"/>
      <c r="G982" s="5"/>
      <c r="H982" s="5"/>
      <c r="I982" s="65"/>
    </row>
    <row r="983" spans="1:9" ht="31.5" customHeight="1" hidden="1">
      <c r="A983" s="159" t="s">
        <v>527</v>
      </c>
      <c r="B983" s="159"/>
      <c r="C983" s="159"/>
      <c r="D983" s="159"/>
      <c r="E983" s="159"/>
      <c r="F983" s="5"/>
      <c r="G983" s="5"/>
      <c r="H983" s="5"/>
      <c r="I983" s="65"/>
    </row>
    <row r="984" spans="1:9" ht="33" customHeight="1" hidden="1">
      <c r="A984" s="159" t="s">
        <v>973</v>
      </c>
      <c r="B984" s="159"/>
      <c r="C984" s="159"/>
      <c r="D984" s="159"/>
      <c r="E984" s="159"/>
      <c r="F984" s="5"/>
      <c r="G984" s="5"/>
      <c r="H984" s="5"/>
      <c r="I984" s="65"/>
    </row>
    <row r="985" spans="1:9" ht="47.25" customHeight="1" hidden="1">
      <c r="A985" s="159" t="s">
        <v>886</v>
      </c>
      <c r="B985" s="159"/>
      <c r="C985" s="159"/>
      <c r="D985" s="159"/>
      <c r="E985" s="159"/>
      <c r="F985" s="5"/>
      <c r="G985" s="5"/>
      <c r="H985" s="5"/>
      <c r="I985" s="65"/>
    </row>
    <row r="986" spans="1:9" ht="47.25" customHeight="1" hidden="1">
      <c r="A986" s="159" t="s">
        <v>744</v>
      </c>
      <c r="B986" s="159"/>
      <c r="C986" s="159"/>
      <c r="D986" s="159"/>
      <c r="E986" s="159"/>
      <c r="F986" s="5"/>
      <c r="G986" s="5"/>
      <c r="H986" s="5"/>
      <c r="I986" s="65"/>
    </row>
    <row r="987" spans="1:9" ht="20.25" customHeight="1" hidden="1">
      <c r="A987" s="159" t="s">
        <v>887</v>
      </c>
      <c r="B987" s="159"/>
      <c r="C987" s="159"/>
      <c r="D987" s="159"/>
      <c r="E987" s="159"/>
      <c r="F987" s="5"/>
      <c r="G987" s="5"/>
      <c r="H987" s="5"/>
      <c r="I987" s="65">
        <v>90</v>
      </c>
    </row>
    <row r="988" spans="1:9" ht="30" customHeight="1" hidden="1">
      <c r="A988" s="159" t="s">
        <v>888</v>
      </c>
      <c r="B988" s="159"/>
      <c r="C988" s="159"/>
      <c r="D988" s="159"/>
      <c r="E988" s="159"/>
      <c r="F988" s="5"/>
      <c r="G988" s="5"/>
      <c r="H988" s="5"/>
      <c r="I988" s="65">
        <v>900</v>
      </c>
    </row>
    <row r="989" spans="1:9" ht="15.75" customHeight="1" hidden="1">
      <c r="A989" s="159" t="s">
        <v>139</v>
      </c>
      <c r="B989" s="159"/>
      <c r="C989" s="159"/>
      <c r="D989" s="159"/>
      <c r="E989" s="15"/>
      <c r="F989" s="5"/>
      <c r="G989" s="5"/>
      <c r="H989" s="5"/>
      <c r="I989" s="65"/>
    </row>
    <row r="990" spans="1:9" ht="34.5" customHeight="1" hidden="1">
      <c r="A990" s="159" t="s">
        <v>1075</v>
      </c>
      <c r="B990" s="159"/>
      <c r="C990" s="159"/>
      <c r="D990" s="159"/>
      <c r="E990" s="159"/>
      <c r="F990" s="5"/>
      <c r="G990" s="5"/>
      <c r="H990" s="5"/>
      <c r="I990" s="65">
        <f>2200-2200</f>
        <v>0</v>
      </c>
    </row>
    <row r="991" spans="1:9" ht="23.25" customHeight="1" hidden="1">
      <c r="A991" s="159" t="s">
        <v>351</v>
      </c>
      <c r="B991" s="159"/>
      <c r="C991" s="159"/>
      <c r="D991" s="159"/>
      <c r="E991" s="159"/>
      <c r="F991" s="5"/>
      <c r="G991" s="5"/>
      <c r="H991" s="5"/>
      <c r="I991" s="65">
        <v>2200</v>
      </c>
    </row>
    <row r="992" spans="1:9" ht="86.25" customHeight="1" hidden="1">
      <c r="A992" s="131" t="s">
        <v>317</v>
      </c>
      <c r="B992" s="132"/>
      <c r="C992" s="132"/>
      <c r="D992" s="132"/>
      <c r="E992" s="133"/>
      <c r="F992" s="5"/>
      <c r="G992" s="5"/>
      <c r="H992" s="5"/>
      <c r="I992" s="65">
        <v>193</v>
      </c>
    </row>
    <row r="993" spans="1:9" ht="34.5" customHeight="1" hidden="1">
      <c r="A993" s="159" t="s">
        <v>1049</v>
      </c>
      <c r="B993" s="159"/>
      <c r="C993" s="159"/>
      <c r="D993" s="159"/>
      <c r="E993" s="159"/>
      <c r="F993" s="5"/>
      <c r="G993" s="5"/>
      <c r="H993" s="5"/>
      <c r="I993" s="65">
        <v>500</v>
      </c>
    </row>
    <row r="994" spans="1:9" ht="63" customHeight="1" hidden="1">
      <c r="A994" s="159" t="s">
        <v>221</v>
      </c>
      <c r="B994" s="159"/>
      <c r="C994" s="159"/>
      <c r="D994" s="159"/>
      <c r="E994" s="159"/>
      <c r="F994" s="5"/>
      <c r="G994" s="5"/>
      <c r="H994" s="5"/>
      <c r="I994" s="65">
        <v>320</v>
      </c>
    </row>
    <row r="995" spans="1:9" ht="48" customHeight="1" hidden="1">
      <c r="A995" s="159" t="s">
        <v>222</v>
      </c>
      <c r="B995" s="159"/>
      <c r="C995" s="159"/>
      <c r="D995" s="159"/>
      <c r="E995" s="159"/>
      <c r="F995" s="5"/>
      <c r="G995" s="5"/>
      <c r="H995" s="5"/>
      <c r="I995" s="65">
        <v>0</v>
      </c>
    </row>
    <row r="996" spans="1:9" ht="48" customHeight="1" hidden="1">
      <c r="A996" s="131" t="s">
        <v>112</v>
      </c>
      <c r="B996" s="132"/>
      <c r="C996" s="132"/>
      <c r="D996" s="132"/>
      <c r="E996" s="133"/>
      <c r="F996" s="5"/>
      <c r="G996" s="5"/>
      <c r="H996" s="5"/>
      <c r="I996" s="65">
        <f>500-500</f>
        <v>0</v>
      </c>
    </row>
    <row r="997" spans="1:9" ht="93" customHeight="1" hidden="1">
      <c r="A997" s="131" t="s">
        <v>42</v>
      </c>
      <c r="B997" s="132"/>
      <c r="C997" s="132"/>
      <c r="D997" s="132"/>
      <c r="E997" s="133"/>
      <c r="F997" s="5"/>
      <c r="G997" s="5"/>
      <c r="H997" s="5"/>
      <c r="I997" s="65">
        <v>500</v>
      </c>
    </row>
    <row r="998" spans="1:9" ht="36" customHeight="1" hidden="1">
      <c r="A998" s="131" t="s">
        <v>374</v>
      </c>
      <c r="B998" s="132"/>
      <c r="C998" s="132"/>
      <c r="D998" s="132"/>
      <c r="E998" s="133"/>
      <c r="F998" s="5"/>
      <c r="G998" s="5"/>
      <c r="H998" s="5"/>
      <c r="I998" s="65">
        <f>1820-1142.5</f>
        <v>677.5</v>
      </c>
    </row>
    <row r="999" spans="1:9" ht="36" customHeight="1" hidden="1">
      <c r="A999" s="131"/>
      <c r="B999" s="132"/>
      <c r="C999" s="132"/>
      <c r="D999" s="132"/>
      <c r="E999" s="133"/>
      <c r="F999" s="5"/>
      <c r="G999" s="5"/>
      <c r="H999" s="5"/>
      <c r="I999" s="105"/>
    </row>
    <row r="1000" spans="1:9" ht="26.25" customHeight="1" hidden="1">
      <c r="A1000" s="131"/>
      <c r="B1000" s="132"/>
      <c r="C1000" s="132"/>
      <c r="D1000" s="132"/>
      <c r="E1000" s="133"/>
      <c r="F1000" s="5"/>
      <c r="G1000" s="5"/>
      <c r="H1000" s="5"/>
      <c r="I1000" s="105"/>
    </row>
    <row r="1001" spans="1:9" ht="15.75" customHeight="1" hidden="1">
      <c r="A1001" s="159" t="s">
        <v>176</v>
      </c>
      <c r="B1001" s="159"/>
      <c r="C1001" s="159"/>
      <c r="D1001" s="159"/>
      <c r="E1001" s="15"/>
      <c r="F1001" s="5"/>
      <c r="G1001" s="5"/>
      <c r="H1001" s="5"/>
      <c r="I1001" s="74"/>
    </row>
    <row r="1002" spans="1:9" ht="105" hidden="1">
      <c r="A1002" s="16">
        <v>3719800</v>
      </c>
      <c r="B1002" s="16">
        <v>9800</v>
      </c>
      <c r="C1002" s="14" t="s">
        <v>941</v>
      </c>
      <c r="D1002" s="71" t="s">
        <v>358</v>
      </c>
      <c r="E1002" s="5"/>
      <c r="F1002" s="5"/>
      <c r="G1002" s="5"/>
      <c r="H1002" s="5"/>
      <c r="I1002" s="108">
        <f>I1003</f>
        <v>2905.92</v>
      </c>
    </row>
    <row r="1003" spans="1:9" ht="36" customHeight="1" hidden="1">
      <c r="A1003" s="159" t="s">
        <v>675</v>
      </c>
      <c r="B1003" s="159"/>
      <c r="C1003" s="159"/>
      <c r="D1003" s="159"/>
      <c r="E1003" s="159"/>
      <c r="F1003" s="5"/>
      <c r="G1003" s="5"/>
      <c r="H1003" s="5"/>
      <c r="I1003" s="65">
        <f>2950-44.08</f>
        <v>2905.92</v>
      </c>
    </row>
    <row r="1004" spans="1:9" ht="71.25" hidden="1">
      <c r="A1004" s="18">
        <v>3719600</v>
      </c>
      <c r="B1004" s="18">
        <v>9600</v>
      </c>
      <c r="C1004" s="12" t="s">
        <v>941</v>
      </c>
      <c r="D1004" s="104" t="s">
        <v>219</v>
      </c>
      <c r="E1004" s="5"/>
      <c r="F1004" s="5"/>
      <c r="G1004" s="5"/>
      <c r="H1004" s="5"/>
      <c r="I1004" s="5"/>
    </row>
    <row r="1005" spans="1:9" ht="300" hidden="1">
      <c r="A1005" s="16">
        <v>3719610</v>
      </c>
      <c r="B1005" s="16">
        <v>9610</v>
      </c>
      <c r="C1005" s="14" t="s">
        <v>941</v>
      </c>
      <c r="D1005" s="67" t="s">
        <v>710</v>
      </c>
      <c r="E1005" s="5"/>
      <c r="F1005" s="5"/>
      <c r="G1005" s="5"/>
      <c r="H1005" s="5"/>
      <c r="I1005" s="5"/>
    </row>
    <row r="1006" spans="1:9" ht="75" hidden="1">
      <c r="A1006" s="16">
        <v>3719620</v>
      </c>
      <c r="B1006" s="16">
        <v>9620</v>
      </c>
      <c r="C1006" s="14" t="s">
        <v>941</v>
      </c>
      <c r="D1006" s="67" t="s">
        <v>922</v>
      </c>
      <c r="E1006" s="5"/>
      <c r="F1006" s="5"/>
      <c r="G1006" s="5"/>
      <c r="H1006" s="5"/>
      <c r="I1006" s="5"/>
    </row>
    <row r="1007" spans="1:9" ht="57" hidden="1">
      <c r="A1007" s="18">
        <v>3719700</v>
      </c>
      <c r="B1007" s="18">
        <v>9700</v>
      </c>
      <c r="C1007" s="12" t="s">
        <v>941</v>
      </c>
      <c r="D1007" s="23" t="s">
        <v>923</v>
      </c>
      <c r="E1007" s="5"/>
      <c r="F1007" s="5"/>
      <c r="G1007" s="5"/>
      <c r="H1007" s="5"/>
      <c r="I1007" s="5"/>
    </row>
    <row r="1008" spans="1:9" ht="45" hidden="1">
      <c r="A1008" s="16">
        <v>3719700</v>
      </c>
      <c r="B1008" s="16">
        <v>9720</v>
      </c>
      <c r="C1008" s="14" t="s">
        <v>941</v>
      </c>
      <c r="D1008" s="67" t="s">
        <v>924</v>
      </c>
      <c r="E1008" s="5"/>
      <c r="F1008" s="5"/>
      <c r="G1008" s="5"/>
      <c r="H1008" s="5"/>
      <c r="I1008" s="5"/>
    </row>
    <row r="1009" spans="1:9" ht="45" hidden="1">
      <c r="A1009" s="16">
        <v>3719700</v>
      </c>
      <c r="B1009" s="16">
        <v>9730</v>
      </c>
      <c r="C1009" s="14" t="s">
        <v>941</v>
      </c>
      <c r="D1009" s="67" t="s">
        <v>925</v>
      </c>
      <c r="E1009" s="5"/>
      <c r="F1009" s="5"/>
      <c r="G1009" s="5"/>
      <c r="H1009" s="5"/>
      <c r="I1009" s="5"/>
    </row>
    <row r="1010" spans="1:9" ht="30" hidden="1">
      <c r="A1010" s="16">
        <v>3719700</v>
      </c>
      <c r="B1010" s="16">
        <v>9740</v>
      </c>
      <c r="C1010" s="14" t="s">
        <v>941</v>
      </c>
      <c r="D1010" s="67" t="s">
        <v>926</v>
      </c>
      <c r="E1010" s="5"/>
      <c r="F1010" s="5"/>
      <c r="G1010" s="5"/>
      <c r="H1010" s="5"/>
      <c r="I1010" s="5"/>
    </row>
    <row r="1011" spans="1:9" ht="45" hidden="1">
      <c r="A1011" s="16">
        <v>3719700</v>
      </c>
      <c r="B1011" s="16">
        <v>9750</v>
      </c>
      <c r="C1011" s="14" t="s">
        <v>941</v>
      </c>
      <c r="D1011" s="67" t="s">
        <v>369</v>
      </c>
      <c r="E1011" s="5"/>
      <c r="F1011" s="5"/>
      <c r="G1011" s="5"/>
      <c r="H1011" s="5"/>
      <c r="I1011" s="5"/>
    </row>
    <row r="1012" spans="1:9" ht="45" hidden="1">
      <c r="A1012" s="16">
        <v>3719700</v>
      </c>
      <c r="B1012" s="16">
        <v>9760</v>
      </c>
      <c r="C1012" s="14" t="s">
        <v>941</v>
      </c>
      <c r="D1012" s="67" t="s">
        <v>715</v>
      </c>
      <c r="E1012" s="5"/>
      <c r="F1012" s="5"/>
      <c r="G1012" s="5"/>
      <c r="H1012" s="5"/>
      <c r="I1012" s="5"/>
    </row>
    <row r="1013" spans="1:9" ht="15.75" hidden="1">
      <c r="A1013" s="16">
        <v>3719770</v>
      </c>
      <c r="B1013" s="16">
        <v>9770</v>
      </c>
      <c r="C1013" s="14" t="s">
        <v>941</v>
      </c>
      <c r="D1013" s="109" t="s">
        <v>298</v>
      </c>
      <c r="E1013" s="16" t="s">
        <v>756</v>
      </c>
      <c r="F1013" s="5"/>
      <c r="G1013" s="5"/>
      <c r="H1013" s="5"/>
      <c r="I1013" s="110">
        <v>26017.20051</v>
      </c>
    </row>
    <row r="1014" spans="1:9" ht="17.25" customHeight="1" hidden="1">
      <c r="A1014" s="159" t="s">
        <v>223</v>
      </c>
      <c r="B1014" s="159"/>
      <c r="C1014" s="159"/>
      <c r="D1014" s="159"/>
      <c r="E1014" s="159"/>
      <c r="F1014" s="5"/>
      <c r="G1014" s="5"/>
      <c r="H1014" s="5"/>
      <c r="I1014" s="65">
        <v>7000</v>
      </c>
    </row>
    <row r="1015" spans="1:9" ht="17.25" customHeight="1" hidden="1">
      <c r="A1015" s="131" t="s">
        <v>709</v>
      </c>
      <c r="B1015" s="132"/>
      <c r="C1015" s="132"/>
      <c r="D1015" s="132"/>
      <c r="E1015" s="133"/>
      <c r="F1015" s="5"/>
      <c r="G1015" s="5"/>
      <c r="H1015" s="5"/>
      <c r="I1015" s="111">
        <v>18687.200509999995</v>
      </c>
    </row>
    <row r="1016" spans="1:9" ht="33.75" customHeight="1" hidden="1">
      <c r="A1016" s="131" t="s">
        <v>15</v>
      </c>
      <c r="B1016" s="132"/>
      <c r="C1016" s="132"/>
      <c r="D1016" s="132"/>
      <c r="E1016" s="133"/>
      <c r="F1016" s="5"/>
      <c r="G1016" s="5"/>
      <c r="H1016" s="5"/>
      <c r="I1016" s="111">
        <f>1350-1020</f>
        <v>330</v>
      </c>
    </row>
    <row r="1017" spans="1:9" s="8" customFormat="1" ht="45.75" customHeight="1" hidden="1">
      <c r="A1017" s="169" t="s">
        <v>688</v>
      </c>
      <c r="B1017" s="169"/>
      <c r="C1017" s="169"/>
      <c r="D1017" s="169"/>
      <c r="E1017" s="39"/>
      <c r="F1017" s="75"/>
      <c r="G1017" s="75"/>
      <c r="H1017" s="75"/>
      <c r="I1017" s="66">
        <f>I710+I558+I23+I172+I464+I548+I635+I674+I907+I935+I920+I883+I852+I10</f>
        <v>19233.399999999998</v>
      </c>
    </row>
    <row r="1018" spans="1:12" ht="16.5" customHeight="1">
      <c r="A1018" s="9"/>
      <c r="B1018" s="9"/>
      <c r="C1018" s="9"/>
      <c r="D1018" s="76"/>
      <c r="E1018" s="76"/>
      <c r="F1018" s="168"/>
      <c r="G1018" s="168"/>
      <c r="H1018" s="168"/>
      <c r="I1018" s="168"/>
      <c r="J1018" s="10"/>
      <c r="K1018" s="173"/>
      <c r="L1018" s="173"/>
    </row>
    <row r="1019" spans="1:9" ht="18.75" hidden="1">
      <c r="A1019" s="9" t="s">
        <v>172</v>
      </c>
      <c r="B1019" s="9"/>
      <c r="C1019" s="9"/>
      <c r="D1019" s="76"/>
      <c r="E1019" s="76"/>
      <c r="F1019" s="9"/>
      <c r="G1019" s="9"/>
      <c r="H1019" s="168" t="s">
        <v>173</v>
      </c>
      <c r="I1019" s="168"/>
    </row>
    <row r="1020" spans="1:9" ht="12.75" hidden="1">
      <c r="A1020" s="6"/>
      <c r="B1020" s="6"/>
      <c r="C1020" s="6"/>
      <c r="D1020" s="6"/>
      <c r="E1020" s="6"/>
      <c r="F1020" s="6"/>
      <c r="G1020" s="6"/>
      <c r="H1020" s="6"/>
      <c r="I1020" s="6"/>
    </row>
    <row r="1021" spans="1:9" ht="18.75">
      <c r="A1021" s="9" t="s">
        <v>380</v>
      </c>
      <c r="B1021" s="9"/>
      <c r="C1021" s="9"/>
      <c r="D1021" s="76"/>
      <c r="E1021" s="76"/>
      <c r="F1021" s="9"/>
      <c r="G1021" s="9"/>
      <c r="H1021" s="168" t="s">
        <v>520</v>
      </c>
      <c r="I1021" s="168"/>
    </row>
    <row r="1022" spans="1:9" ht="12.75">
      <c r="A1022" s="6"/>
      <c r="B1022" s="6"/>
      <c r="C1022" s="6"/>
      <c r="D1022" s="6"/>
      <c r="E1022" s="6"/>
      <c r="F1022" s="6"/>
      <c r="G1022" s="6"/>
      <c r="H1022" s="6"/>
      <c r="I1022" s="7"/>
    </row>
    <row r="1023" spans="1:9" ht="12.75">
      <c r="A1023" s="6"/>
      <c r="B1023" s="6"/>
      <c r="C1023" s="6"/>
      <c r="D1023" s="6"/>
      <c r="E1023" s="6"/>
      <c r="F1023" s="6"/>
      <c r="G1023" s="6"/>
      <c r="H1023" s="6"/>
      <c r="I1023" s="6"/>
    </row>
    <row r="1024" spans="1:9" ht="12.75">
      <c r="A1024" s="6"/>
      <c r="B1024" s="6"/>
      <c r="C1024" s="6"/>
      <c r="D1024" s="6"/>
      <c r="E1024" s="6"/>
      <c r="F1024" s="6"/>
      <c r="G1024" s="6"/>
      <c r="H1024" s="6"/>
      <c r="I1024" s="7"/>
    </row>
    <row r="1025" spans="1:9" ht="12.75">
      <c r="A1025" s="6"/>
      <c r="B1025" s="6"/>
      <c r="C1025" s="6"/>
      <c r="D1025" s="6"/>
      <c r="E1025" s="6"/>
      <c r="F1025" s="6"/>
      <c r="G1025" s="6"/>
      <c r="H1025" s="6"/>
      <c r="I1025" s="7"/>
    </row>
    <row r="1026" spans="1:9" ht="12.75">
      <c r="A1026" s="6"/>
      <c r="B1026" s="6"/>
      <c r="C1026" s="6"/>
      <c r="D1026" s="6"/>
      <c r="E1026" s="6"/>
      <c r="F1026" s="6"/>
      <c r="G1026" s="6"/>
      <c r="H1026" s="6"/>
      <c r="I1026" s="6"/>
    </row>
    <row r="1027" spans="1:9" ht="12.75">
      <c r="A1027" s="6"/>
      <c r="B1027" s="6"/>
      <c r="C1027" s="6"/>
      <c r="D1027" s="6"/>
      <c r="E1027" s="6"/>
      <c r="F1027" s="6"/>
      <c r="G1027" s="6"/>
      <c r="H1027" s="6"/>
      <c r="I1027" s="6"/>
    </row>
    <row r="1028" spans="1:9" ht="12.75">
      <c r="A1028" s="6"/>
      <c r="B1028" s="6"/>
      <c r="C1028" s="6"/>
      <c r="D1028" s="6"/>
      <c r="E1028" s="6"/>
      <c r="F1028" s="6"/>
      <c r="G1028" s="6"/>
      <c r="H1028" s="6"/>
      <c r="I1028" s="6"/>
    </row>
    <row r="1029" spans="1:9" ht="12.75">
      <c r="A1029" s="6"/>
      <c r="B1029" s="6"/>
      <c r="C1029" s="6"/>
      <c r="D1029" s="6"/>
      <c r="E1029" s="6"/>
      <c r="F1029" s="6"/>
      <c r="G1029" s="6"/>
      <c r="H1029" s="6"/>
      <c r="I1029" s="6"/>
    </row>
  </sheetData>
  <sheetProtection/>
  <mergeCells count="753">
    <mergeCell ref="A838:E838"/>
    <mergeCell ref="A496:E496"/>
    <mergeCell ref="A531:E531"/>
    <mergeCell ref="A532:E532"/>
    <mergeCell ref="A513:E513"/>
    <mergeCell ref="A507:E507"/>
    <mergeCell ref="A515:E515"/>
    <mergeCell ref="A538:E538"/>
    <mergeCell ref="B548:D548"/>
    <mergeCell ref="A571:E571"/>
    <mergeCell ref="B172:D172"/>
    <mergeCell ref="A417:E417"/>
    <mergeCell ref="A416:E416"/>
    <mergeCell ref="A368:E368"/>
    <mergeCell ref="A369:E369"/>
    <mergeCell ref="A415:E415"/>
    <mergeCell ref="C391:D391"/>
    <mergeCell ref="A367:E367"/>
    <mergeCell ref="A358:E358"/>
    <mergeCell ref="A356:E356"/>
    <mergeCell ref="A845:E845"/>
    <mergeCell ref="A546:E546"/>
    <mergeCell ref="A547:E547"/>
    <mergeCell ref="A844:E844"/>
    <mergeCell ref="A585:E585"/>
    <mergeCell ref="A586:E586"/>
    <mergeCell ref="A580:E580"/>
    <mergeCell ref="A577:E577"/>
    <mergeCell ref="A583:E583"/>
    <mergeCell ref="A581:E581"/>
    <mergeCell ref="A568:E568"/>
    <mergeCell ref="A570:E570"/>
    <mergeCell ref="A584:E584"/>
    <mergeCell ref="A582:E582"/>
    <mergeCell ref="A572:E572"/>
    <mergeCell ref="A574:E574"/>
    <mergeCell ref="A573:E573"/>
    <mergeCell ref="A578:E578"/>
    <mergeCell ref="A522:E522"/>
    <mergeCell ref="A523:E523"/>
    <mergeCell ref="A525:E525"/>
    <mergeCell ref="A530:E530"/>
    <mergeCell ref="C526:D526"/>
    <mergeCell ref="A528:E528"/>
    <mergeCell ref="A529:E529"/>
    <mergeCell ref="A518:E518"/>
    <mergeCell ref="A469:E469"/>
    <mergeCell ref="A421:E421"/>
    <mergeCell ref="A420:E420"/>
    <mergeCell ref="A426:E426"/>
    <mergeCell ref="C467:D467"/>
    <mergeCell ref="A494:E494"/>
    <mergeCell ref="A495:E495"/>
    <mergeCell ref="A492:E492"/>
    <mergeCell ref="A493:E493"/>
    <mergeCell ref="A520:E520"/>
    <mergeCell ref="A475:E475"/>
    <mergeCell ref="A476:E476"/>
    <mergeCell ref="A477:E477"/>
    <mergeCell ref="A490:E490"/>
    <mergeCell ref="A488:E488"/>
    <mergeCell ref="A489:E489"/>
    <mergeCell ref="A480:E480"/>
    <mergeCell ref="C504:D504"/>
    <mergeCell ref="A517:E517"/>
    <mergeCell ref="C388:D388"/>
    <mergeCell ref="D400:E400"/>
    <mergeCell ref="A411:E411"/>
    <mergeCell ref="A407:E407"/>
    <mergeCell ref="A405:E405"/>
    <mergeCell ref="D399:E399"/>
    <mergeCell ref="A362:E362"/>
    <mergeCell ref="A351:E351"/>
    <mergeCell ref="A410:E410"/>
    <mergeCell ref="A364:E364"/>
    <mergeCell ref="A365:E365"/>
    <mergeCell ref="C385:D385"/>
    <mergeCell ref="A354:E354"/>
    <mergeCell ref="A371:E371"/>
    <mergeCell ref="A357:E357"/>
    <mergeCell ref="A360:E360"/>
    <mergeCell ref="A423:E423"/>
    <mergeCell ref="D401:E401"/>
    <mergeCell ref="D403:E403"/>
    <mergeCell ref="A406:E406"/>
    <mergeCell ref="A409:E409"/>
    <mergeCell ref="A408:E408"/>
    <mergeCell ref="D404:E404"/>
    <mergeCell ref="A419:E419"/>
    <mergeCell ref="D402:E402"/>
    <mergeCell ref="A418:E418"/>
    <mergeCell ref="A472:E472"/>
    <mergeCell ref="A462:E462"/>
    <mergeCell ref="A425:E425"/>
    <mergeCell ref="A463:E463"/>
    <mergeCell ref="A471:E471"/>
    <mergeCell ref="A470:E470"/>
    <mergeCell ref="C466:D466"/>
    <mergeCell ref="B465:D465"/>
    <mergeCell ref="C534:D534"/>
    <mergeCell ref="A545:E545"/>
    <mergeCell ref="A544:E544"/>
    <mergeCell ref="A540:E540"/>
    <mergeCell ref="A537:E537"/>
    <mergeCell ref="A539:E539"/>
    <mergeCell ref="A514:E514"/>
    <mergeCell ref="A341:E341"/>
    <mergeCell ref="A345:E345"/>
    <mergeCell ref="C352:D352"/>
    <mergeCell ref="A474:E474"/>
    <mergeCell ref="A484:E484"/>
    <mergeCell ref="C497:D497"/>
    <mergeCell ref="B464:D464"/>
    <mergeCell ref="A342:E342"/>
    <mergeCell ref="A478:E478"/>
    <mergeCell ref="A485:E485"/>
    <mergeCell ref="A511:E511"/>
    <mergeCell ref="A512:E512"/>
    <mergeCell ref="A482:E482"/>
    <mergeCell ref="A483:E483"/>
    <mergeCell ref="A491:E491"/>
    <mergeCell ref="A486:E486"/>
    <mergeCell ref="A487:E487"/>
    <mergeCell ref="A556:E556"/>
    <mergeCell ref="A557:E557"/>
    <mergeCell ref="A563:E563"/>
    <mergeCell ref="B558:D558"/>
    <mergeCell ref="B559:D559"/>
    <mergeCell ref="A562:E562"/>
    <mergeCell ref="C551:D551"/>
    <mergeCell ref="B549:D549"/>
    <mergeCell ref="A553:E553"/>
    <mergeCell ref="C535:D535"/>
    <mergeCell ref="A543:E543"/>
    <mergeCell ref="C550:D550"/>
    <mergeCell ref="A541:E541"/>
    <mergeCell ref="A649:E649"/>
    <mergeCell ref="A605:E605"/>
    <mergeCell ref="A607:E607"/>
    <mergeCell ref="A617:E617"/>
    <mergeCell ref="A618:E618"/>
    <mergeCell ref="A609:E609"/>
    <mergeCell ref="A612:E612"/>
    <mergeCell ref="A614:E614"/>
    <mergeCell ref="C628:D628"/>
    <mergeCell ref="B635:D635"/>
    <mergeCell ref="A590:E590"/>
    <mergeCell ref="A600:E600"/>
    <mergeCell ref="A592:E592"/>
    <mergeCell ref="A593:E593"/>
    <mergeCell ref="A591:E591"/>
    <mergeCell ref="A596:E596"/>
    <mergeCell ref="A595:E595"/>
    <mergeCell ref="A598:E598"/>
    <mergeCell ref="A599:E599"/>
    <mergeCell ref="A594:E594"/>
    <mergeCell ref="A718:E718"/>
    <mergeCell ref="A696:E696"/>
    <mergeCell ref="A706:E706"/>
    <mergeCell ref="C707:D707"/>
    <mergeCell ref="B710:D710"/>
    <mergeCell ref="A704:E704"/>
    <mergeCell ref="A717:E717"/>
    <mergeCell ref="A716:E716"/>
    <mergeCell ref="B711:D711"/>
    <mergeCell ref="A735:E735"/>
    <mergeCell ref="A726:E726"/>
    <mergeCell ref="C661:D661"/>
    <mergeCell ref="C664:D664"/>
    <mergeCell ref="A679:E679"/>
    <mergeCell ref="A700:E700"/>
    <mergeCell ref="A685:E685"/>
    <mergeCell ref="C676:D676"/>
    <mergeCell ref="A686:E686"/>
    <mergeCell ref="C712:D712"/>
    <mergeCell ref="A667:E667"/>
    <mergeCell ref="A650:E650"/>
    <mergeCell ref="A655:E655"/>
    <mergeCell ref="A660:E660"/>
    <mergeCell ref="A653:E653"/>
    <mergeCell ref="A652:E652"/>
    <mergeCell ref="A657:E657"/>
    <mergeCell ref="A659:E659"/>
    <mergeCell ref="C647:D647"/>
    <mergeCell ref="A566:E566"/>
    <mergeCell ref="A565:E565"/>
    <mergeCell ref="A634:E634"/>
    <mergeCell ref="A633:E633"/>
    <mergeCell ref="A632:E632"/>
    <mergeCell ref="A615:E615"/>
    <mergeCell ref="B627:D627"/>
    <mergeCell ref="B626:D626"/>
    <mergeCell ref="A622:E622"/>
    <mergeCell ref="A623:E623"/>
    <mergeCell ref="A743:E743"/>
    <mergeCell ref="A736:E736"/>
    <mergeCell ref="C893:D893"/>
    <mergeCell ref="C885:D885"/>
    <mergeCell ref="A746:E746"/>
    <mergeCell ref="A790:E790"/>
    <mergeCell ref="C864:D864"/>
    <mergeCell ref="A882:E882"/>
    <mergeCell ref="A874:E874"/>
    <mergeCell ref="C867:D867"/>
    <mergeCell ref="A755:E755"/>
    <mergeCell ref="A762:E762"/>
    <mergeCell ref="A747:E747"/>
    <mergeCell ref="A754:E754"/>
    <mergeCell ref="A756:E756"/>
    <mergeCell ref="A750:E750"/>
    <mergeCell ref="A751:E751"/>
    <mergeCell ref="A763:E763"/>
    <mergeCell ref="A767:E767"/>
    <mergeCell ref="A684:E684"/>
    <mergeCell ref="A701:E701"/>
    <mergeCell ref="A688:E688"/>
    <mergeCell ref="A689:E689"/>
    <mergeCell ref="C690:D690"/>
    <mergeCell ref="C698:D698"/>
    <mergeCell ref="A737:E737"/>
    <mergeCell ref="A738:E738"/>
    <mergeCell ref="A741:E741"/>
    <mergeCell ref="A739:E739"/>
    <mergeCell ref="A740:E740"/>
    <mergeCell ref="A734:E734"/>
    <mergeCell ref="A719:E719"/>
    <mergeCell ref="A725:E725"/>
    <mergeCell ref="A722:E722"/>
    <mergeCell ref="A728:E728"/>
    <mergeCell ref="A723:E723"/>
    <mergeCell ref="A727:E727"/>
    <mergeCell ref="A720:E720"/>
    <mergeCell ref="A721:E721"/>
    <mergeCell ref="A724:E724"/>
    <mergeCell ref="A334:E334"/>
    <mergeCell ref="A355:E355"/>
    <mergeCell ref="A344:E344"/>
    <mergeCell ref="A347:E347"/>
    <mergeCell ref="A339:E339"/>
    <mergeCell ref="B24:D24"/>
    <mergeCell ref="A60:E60"/>
    <mergeCell ref="A33:E33"/>
    <mergeCell ref="A49:E49"/>
    <mergeCell ref="A35:E35"/>
    <mergeCell ref="A39:E39"/>
    <mergeCell ref="A37:E37"/>
    <mergeCell ref="A38:E38"/>
    <mergeCell ref="C25:D25"/>
    <mergeCell ref="A41:E41"/>
    <mergeCell ref="C15:D15"/>
    <mergeCell ref="A7:A8"/>
    <mergeCell ref="B7:B8"/>
    <mergeCell ref="B23:D23"/>
    <mergeCell ref="C17:D17"/>
    <mergeCell ref="A22:E22"/>
    <mergeCell ref="B10:D10"/>
    <mergeCell ref="B11:D11"/>
    <mergeCell ref="C12:D12"/>
    <mergeCell ref="A29:E29"/>
    <mergeCell ref="A30:E30"/>
    <mergeCell ref="A31:E31"/>
    <mergeCell ref="A32:E32"/>
    <mergeCell ref="A27:E27"/>
    <mergeCell ref="A152:E152"/>
    <mergeCell ref="A112:E112"/>
    <mergeCell ref="A74:E74"/>
    <mergeCell ref="A55:E55"/>
    <mergeCell ref="A56:E56"/>
    <mergeCell ref="A64:E64"/>
    <mergeCell ref="A65:E65"/>
    <mergeCell ref="A28:E28"/>
    <mergeCell ref="A36:E36"/>
    <mergeCell ref="F1:I1"/>
    <mergeCell ref="F3:I3"/>
    <mergeCell ref="F7:F8"/>
    <mergeCell ref="G7:G8"/>
    <mergeCell ref="H7:H8"/>
    <mergeCell ref="A5:I5"/>
    <mergeCell ref="I7:I8"/>
    <mergeCell ref="C7:C8"/>
    <mergeCell ref="F2:I2"/>
    <mergeCell ref="E7:E8"/>
    <mergeCell ref="K1018:L1018"/>
    <mergeCell ref="H1018:I1018"/>
    <mergeCell ref="A730:E730"/>
    <mergeCell ref="A731:E731"/>
    <mergeCell ref="A732:E732"/>
    <mergeCell ref="B852:D852"/>
    <mergeCell ref="A749:E749"/>
    <mergeCell ref="A929:D929"/>
    <mergeCell ref="B920:D920"/>
    <mergeCell ref="C916:D916"/>
    <mergeCell ref="A185:E185"/>
    <mergeCell ref="A179:E179"/>
    <mergeCell ref="A58:E58"/>
    <mergeCell ref="A44:E44"/>
    <mergeCell ref="A47:E47"/>
    <mergeCell ref="A48:E48"/>
    <mergeCell ref="A50:E50"/>
    <mergeCell ref="A59:E59"/>
    <mergeCell ref="A51:E51"/>
    <mergeCell ref="A170:E170"/>
    <mergeCell ref="A766:E766"/>
    <mergeCell ref="A181:E181"/>
    <mergeCell ref="A241:E241"/>
    <mergeCell ref="A226:E226"/>
    <mergeCell ref="A239:E239"/>
    <mergeCell ref="A210:E210"/>
    <mergeCell ref="A211:E211"/>
    <mergeCell ref="A217:E217"/>
    <mergeCell ref="A274:E274"/>
    <mergeCell ref="A229:E229"/>
    <mergeCell ref="A138:E138"/>
    <mergeCell ref="A130:E130"/>
    <mergeCell ref="A177:E177"/>
    <mergeCell ref="A66:E66"/>
    <mergeCell ref="C150:D150"/>
    <mergeCell ref="A142:E142"/>
    <mergeCell ref="A129:E129"/>
    <mergeCell ref="A124:E124"/>
    <mergeCell ref="A140:E140"/>
    <mergeCell ref="A171:E171"/>
    <mergeCell ref="A52:E52"/>
    <mergeCell ref="A46:E46"/>
    <mergeCell ref="A42:E42"/>
    <mergeCell ref="A61:E61"/>
    <mergeCell ref="A53:E53"/>
    <mergeCell ref="A54:E54"/>
    <mergeCell ref="A57:E57"/>
    <mergeCell ref="A43:E43"/>
    <mergeCell ref="A167:E167"/>
    <mergeCell ref="A168:E168"/>
    <mergeCell ref="A169:E169"/>
    <mergeCell ref="A141:E141"/>
    <mergeCell ref="A277:E277"/>
    <mergeCell ref="C155:D155"/>
    <mergeCell ref="C174:D174"/>
    <mergeCell ref="A163:E163"/>
    <mergeCell ref="A161:E161"/>
    <mergeCell ref="A159:E159"/>
    <mergeCell ref="A165:E165"/>
    <mergeCell ref="A166:E166"/>
    <mergeCell ref="A208:E208"/>
    <mergeCell ref="A196:E196"/>
    <mergeCell ref="A195:E195"/>
    <mergeCell ref="A197:E197"/>
    <mergeCell ref="A200:E200"/>
    <mergeCell ref="A207:E207"/>
    <mergeCell ref="A272:E272"/>
    <mergeCell ref="A194:E194"/>
    <mergeCell ref="A216:E216"/>
    <mergeCell ref="A233:E233"/>
    <mergeCell ref="A260:E260"/>
    <mergeCell ref="A238:E238"/>
    <mergeCell ref="A257:E257"/>
    <mergeCell ref="A262:E262"/>
    <mergeCell ref="A248:E248"/>
    <mergeCell ref="A259:E259"/>
    <mergeCell ref="A180:E180"/>
    <mergeCell ref="A240:E240"/>
    <mergeCell ref="A242:E242"/>
    <mergeCell ref="A261:E261"/>
    <mergeCell ref="A234:E234"/>
    <mergeCell ref="A258:E258"/>
    <mergeCell ref="A255:E255"/>
    <mergeCell ref="A252:E252"/>
    <mergeCell ref="A244:E244"/>
    <mergeCell ref="A190:E190"/>
    <mergeCell ref="B884:D884"/>
    <mergeCell ref="A881:E881"/>
    <mergeCell ref="C871:D871"/>
    <mergeCell ref="A292:E292"/>
    <mergeCell ref="A516:E516"/>
    <mergeCell ref="C854:D854"/>
    <mergeCell ref="A808:E808"/>
    <mergeCell ref="A744:E744"/>
    <mergeCell ref="A733:E733"/>
    <mergeCell ref="A752:E752"/>
    <mergeCell ref="A131:E131"/>
    <mergeCell ref="A135:E135"/>
    <mergeCell ref="A137:E137"/>
    <mergeCell ref="A924:E924"/>
    <mergeCell ref="B908:D908"/>
    <mergeCell ref="C909:D909"/>
    <mergeCell ref="A915:E915"/>
    <mergeCell ref="A913:E913"/>
    <mergeCell ref="A912:E912"/>
    <mergeCell ref="C922:D922"/>
    <mergeCell ref="A914:E914"/>
    <mergeCell ref="A989:D989"/>
    <mergeCell ref="A759:E759"/>
    <mergeCell ref="A153:E153"/>
    <mergeCell ref="A154:E154"/>
    <mergeCell ref="C587:D587"/>
    <mergeCell ref="A311:E311"/>
    <mergeCell ref="A521:E521"/>
    <mergeCell ref="A331:E331"/>
    <mergeCell ref="D398:E398"/>
    <mergeCell ref="A993:E993"/>
    <mergeCell ref="A991:E991"/>
    <mergeCell ref="A995:E995"/>
    <mergeCell ref="A1000:E1000"/>
    <mergeCell ref="A998:E998"/>
    <mergeCell ref="A999:E999"/>
    <mergeCell ref="A996:E996"/>
    <mergeCell ref="A994:E994"/>
    <mergeCell ref="A992:E992"/>
    <mergeCell ref="H1021:I1021"/>
    <mergeCell ref="A1014:E1014"/>
    <mergeCell ref="A1017:D1017"/>
    <mergeCell ref="A997:E997"/>
    <mergeCell ref="A1015:E1015"/>
    <mergeCell ref="H1019:I1019"/>
    <mergeCell ref="F1018:G1018"/>
    <mergeCell ref="A1003:E1003"/>
    <mergeCell ref="A1016:E1016"/>
    <mergeCell ref="A1001:D1001"/>
    <mergeCell ref="C875:D875"/>
    <mergeCell ref="B883:D883"/>
    <mergeCell ref="A878:E878"/>
    <mergeCell ref="A990:E990"/>
    <mergeCell ref="A970:D970"/>
    <mergeCell ref="A986:E986"/>
    <mergeCell ref="A984:E984"/>
    <mergeCell ref="A980:E980"/>
    <mergeCell ref="A988:E988"/>
    <mergeCell ref="A977:E977"/>
    <mergeCell ref="C899:D899"/>
    <mergeCell ref="A985:E985"/>
    <mergeCell ref="A978:E978"/>
    <mergeCell ref="A879:E879"/>
    <mergeCell ref="A906:E906"/>
    <mergeCell ref="B936:D936"/>
    <mergeCell ref="A911:E911"/>
    <mergeCell ref="B907:D907"/>
    <mergeCell ref="C901:D901"/>
    <mergeCell ref="A933:E933"/>
    <mergeCell ref="A918:E918"/>
    <mergeCell ref="B935:D935"/>
    <mergeCell ref="A934:E934"/>
    <mergeCell ref="A979:E979"/>
    <mergeCell ref="B921:D921"/>
    <mergeCell ref="A969:E969"/>
    <mergeCell ref="C940:D940"/>
    <mergeCell ref="C937:D937"/>
    <mergeCell ref="A968:E968"/>
    <mergeCell ref="A967:E967"/>
    <mergeCell ref="A987:E987"/>
    <mergeCell ref="A976:E976"/>
    <mergeCell ref="A975:E975"/>
    <mergeCell ref="A919:E919"/>
    <mergeCell ref="A981:E981"/>
    <mergeCell ref="A983:E983"/>
    <mergeCell ref="A982:D982"/>
    <mergeCell ref="C939:D939"/>
    <mergeCell ref="A926:E926"/>
    <mergeCell ref="A925:E925"/>
    <mergeCell ref="A742:E742"/>
    <mergeCell ref="A745:E745"/>
    <mergeCell ref="A848:E848"/>
    <mergeCell ref="A823:E823"/>
    <mergeCell ref="A824:E824"/>
    <mergeCell ref="A825:E825"/>
    <mergeCell ref="A839:E839"/>
    <mergeCell ref="A832:E832"/>
    <mergeCell ref="A833:E833"/>
    <mergeCell ref="A834:E834"/>
    <mergeCell ref="B853:D853"/>
    <mergeCell ref="A840:E840"/>
    <mergeCell ref="A826:E826"/>
    <mergeCell ref="A846:E846"/>
    <mergeCell ref="A842:E842"/>
    <mergeCell ref="A843:E843"/>
    <mergeCell ref="A827:E827"/>
    <mergeCell ref="A841:E841"/>
    <mergeCell ref="A837:E837"/>
    <mergeCell ref="A836:E836"/>
    <mergeCell ref="A816:E816"/>
    <mergeCell ref="A814:E814"/>
    <mergeCell ref="A806:E806"/>
    <mergeCell ref="A796:E796"/>
    <mergeCell ref="A798:E798"/>
    <mergeCell ref="A807:E807"/>
    <mergeCell ref="A795:E795"/>
    <mergeCell ref="A789:E789"/>
    <mergeCell ref="A792:E792"/>
    <mergeCell ref="A822:E822"/>
    <mergeCell ref="A812:E812"/>
    <mergeCell ref="A818:E818"/>
    <mergeCell ref="A820:E820"/>
    <mergeCell ref="A819:E819"/>
    <mergeCell ref="A817:E817"/>
    <mergeCell ref="A813:E813"/>
    <mergeCell ref="A784:E784"/>
    <mergeCell ref="A805:E805"/>
    <mergeCell ref="A793:E793"/>
    <mergeCell ref="A794:E794"/>
    <mergeCell ref="A799:E799"/>
    <mergeCell ref="A803:E803"/>
    <mergeCell ref="A801:E801"/>
    <mergeCell ref="A804:E804"/>
    <mergeCell ref="A797:E797"/>
    <mergeCell ref="A800:E800"/>
    <mergeCell ref="A771:E771"/>
    <mergeCell ref="A770:E770"/>
    <mergeCell ref="A772:E772"/>
    <mergeCell ref="A782:E782"/>
    <mergeCell ref="A774:E774"/>
    <mergeCell ref="A779:E779"/>
    <mergeCell ref="A780:E780"/>
    <mergeCell ref="A773:E773"/>
    <mergeCell ref="A781:E781"/>
    <mergeCell ref="A778:E778"/>
    <mergeCell ref="A769:E769"/>
    <mergeCell ref="A748:E748"/>
    <mergeCell ref="A758:E758"/>
    <mergeCell ref="A768:E768"/>
    <mergeCell ref="A761:E761"/>
    <mergeCell ref="A760:E760"/>
    <mergeCell ref="A753:E753"/>
    <mergeCell ref="A764:E764"/>
    <mergeCell ref="A765:E765"/>
    <mergeCell ref="A757:E757"/>
    <mergeCell ref="A183:E183"/>
    <mergeCell ref="A184:E184"/>
    <mergeCell ref="A176:E176"/>
    <mergeCell ref="A109:E109"/>
    <mergeCell ref="B173:D173"/>
    <mergeCell ref="A143:E143"/>
    <mergeCell ref="C145:D145"/>
    <mergeCell ref="A149:E149"/>
    <mergeCell ref="A164:E164"/>
    <mergeCell ref="A119:E119"/>
    <mergeCell ref="A69:E69"/>
    <mergeCell ref="A118:E118"/>
    <mergeCell ref="A114:E114"/>
    <mergeCell ref="A97:E97"/>
    <mergeCell ref="A104:E104"/>
    <mergeCell ref="A107:E107"/>
    <mergeCell ref="A116:E116"/>
    <mergeCell ref="A111:E111"/>
    <mergeCell ref="A101:E101"/>
    <mergeCell ref="A102:E102"/>
    <mergeCell ref="A62:E62"/>
    <mergeCell ref="A76:E76"/>
    <mergeCell ref="A71:E71"/>
    <mergeCell ref="A70:E70"/>
    <mergeCell ref="A73:E73"/>
    <mergeCell ref="A72:E72"/>
    <mergeCell ref="A75:E75"/>
    <mergeCell ref="A63:E63"/>
    <mergeCell ref="A68:E68"/>
    <mergeCell ref="A67:E67"/>
    <mergeCell ref="A481:E481"/>
    <mergeCell ref="A604:E604"/>
    <mergeCell ref="A611:E611"/>
    <mergeCell ref="A610:E610"/>
    <mergeCell ref="A603:E603"/>
    <mergeCell ref="A564:E564"/>
    <mergeCell ref="A554:E554"/>
    <mergeCell ref="A555:E555"/>
    <mergeCell ref="A567:E567"/>
    <mergeCell ref="A569:E569"/>
    <mergeCell ref="A298:E298"/>
    <mergeCell ref="A305:E305"/>
    <mergeCell ref="A670:E670"/>
    <mergeCell ref="B675:D675"/>
    <mergeCell ref="B674:D674"/>
    <mergeCell ref="A673:E673"/>
    <mergeCell ref="A473:E473"/>
    <mergeCell ref="C668:D668"/>
    <mergeCell ref="A576:E576"/>
    <mergeCell ref="A579:E579"/>
    <mergeCell ref="A294:E294"/>
    <mergeCell ref="A335:E335"/>
    <mergeCell ref="A307:E307"/>
    <mergeCell ref="A314:E314"/>
    <mergeCell ref="A313:E313"/>
    <mergeCell ref="A295:E295"/>
    <mergeCell ref="A316:E316"/>
    <mergeCell ref="A299:E299"/>
    <mergeCell ref="A300:E300"/>
    <mergeCell ref="A315:E315"/>
    <mergeCell ref="A645:E645"/>
    <mergeCell ref="A651:E651"/>
    <mergeCell ref="A602:E602"/>
    <mergeCell ref="A606:E606"/>
    <mergeCell ref="A613:E613"/>
    <mergeCell ref="A643:E643"/>
    <mergeCell ref="C641:D641"/>
    <mergeCell ref="B636:D636"/>
    <mergeCell ref="C637:D637"/>
    <mergeCell ref="C638:D638"/>
    <mergeCell ref="A519:E519"/>
    <mergeCell ref="C499:D499"/>
    <mergeCell ref="A317:E317"/>
    <mergeCell ref="A321:E321"/>
    <mergeCell ref="A327:E327"/>
    <mergeCell ref="A363:E363"/>
    <mergeCell ref="A361:E361"/>
    <mergeCell ref="A326:E326"/>
    <mergeCell ref="A322:E322"/>
    <mergeCell ref="A412:E412"/>
    <mergeCell ref="A308:E308"/>
    <mergeCell ref="A306:E306"/>
    <mergeCell ref="A324:E324"/>
    <mergeCell ref="A310:E310"/>
    <mergeCell ref="A786:E786"/>
    <mergeCell ref="A275:E275"/>
    <mergeCell ref="A256:E256"/>
    <mergeCell ref="C682:D682"/>
    <mergeCell ref="A427:E427"/>
    <mergeCell ref="A424:E424"/>
    <mergeCell ref="A422:E422"/>
    <mergeCell ref="C393:D393"/>
    <mergeCell ref="A366:E366"/>
    <mergeCell ref="A325:E325"/>
    <mergeCell ref="A288:E288"/>
    <mergeCell ref="A287:E287"/>
    <mergeCell ref="A289:E289"/>
    <mergeCell ref="A343:E343"/>
    <mergeCell ref="A337:E337"/>
    <mergeCell ref="A336:E336"/>
    <mergeCell ref="A328:E328"/>
    <mergeCell ref="A309:E309"/>
    <mergeCell ref="A304:E304"/>
    <mergeCell ref="A297:E297"/>
    <mergeCell ref="A276:E276"/>
    <mergeCell ref="A284:E284"/>
    <mergeCell ref="A279:E279"/>
    <mergeCell ref="A286:E286"/>
    <mergeCell ref="A280:E280"/>
    <mergeCell ref="A278:E278"/>
    <mergeCell ref="A283:E283"/>
    <mergeCell ref="A285:E285"/>
    <mergeCell ref="A282:E282"/>
    <mergeCell ref="A281:E281"/>
    <mergeCell ref="A290:E290"/>
    <mergeCell ref="A395:E395"/>
    <mergeCell ref="A396:E396"/>
    <mergeCell ref="A340:E340"/>
    <mergeCell ref="A312:E312"/>
    <mergeCell ref="A323:E323"/>
    <mergeCell ref="A291:E291"/>
    <mergeCell ref="A296:E296"/>
    <mergeCell ref="A303:E303"/>
    <mergeCell ref="A293:E293"/>
    <mergeCell ref="A103:E103"/>
    <mergeCell ref="A113:E113"/>
    <mergeCell ref="A121:E121"/>
    <mergeCell ref="A134:E134"/>
    <mergeCell ref="A133:E133"/>
    <mergeCell ref="A132:E132"/>
    <mergeCell ref="A128:E128"/>
    <mergeCell ref="A123:E123"/>
    <mergeCell ref="A105:E105"/>
    <mergeCell ref="A106:E106"/>
    <mergeCell ref="C850:D850"/>
    <mergeCell ref="A775:E775"/>
    <mergeCell ref="A973:E973"/>
    <mergeCell ref="A974:E974"/>
    <mergeCell ref="A835:E835"/>
    <mergeCell ref="A815:E815"/>
    <mergeCell ref="A785:E785"/>
    <mergeCell ref="A777:E777"/>
    <mergeCell ref="A821:E821"/>
    <mergeCell ref="A787:E787"/>
    <mergeCell ref="A100:E100"/>
    <mergeCell ref="A82:E82"/>
    <mergeCell ref="A98:E98"/>
    <mergeCell ref="A96:E96"/>
    <mergeCell ref="A94:E94"/>
    <mergeCell ref="A95:E95"/>
    <mergeCell ref="A80:E80"/>
    <mergeCell ref="A77:E77"/>
    <mergeCell ref="A85:E85"/>
    <mergeCell ref="A93:E93"/>
    <mergeCell ref="A83:E83"/>
    <mergeCell ref="A78:E78"/>
    <mergeCell ref="A79:E79"/>
    <mergeCell ref="A81:E81"/>
    <mergeCell ref="A89:E89"/>
    <mergeCell ref="A182:E182"/>
    <mergeCell ref="A228:E228"/>
    <mergeCell ref="A236:E236"/>
    <mergeCell ref="A212:E212"/>
    <mergeCell ref="A213:E213"/>
    <mergeCell ref="A206:E206"/>
    <mergeCell ref="A214:E214"/>
    <mergeCell ref="A227:E227"/>
    <mergeCell ref="A235:E235"/>
    <mergeCell ref="A231:E231"/>
    <mergeCell ref="A110:E110"/>
    <mergeCell ref="A126:E126"/>
    <mergeCell ref="A127:E127"/>
    <mergeCell ref="A122:E122"/>
    <mergeCell ref="A115:E115"/>
    <mergeCell ref="A117:E117"/>
    <mergeCell ref="A120:E120"/>
    <mergeCell ref="A125:E125"/>
    <mergeCell ref="A263:E263"/>
    <mergeCell ref="A249:E249"/>
    <mergeCell ref="A251:E251"/>
    <mergeCell ref="A253:E253"/>
    <mergeCell ref="A254:E254"/>
    <mergeCell ref="A250:E250"/>
    <mergeCell ref="A270:E270"/>
    <mergeCell ref="A267:E267"/>
    <mergeCell ref="A271:E271"/>
    <mergeCell ref="A265:E265"/>
    <mergeCell ref="A268:E268"/>
    <mergeCell ref="A266:E266"/>
    <mergeCell ref="A269:E269"/>
    <mergeCell ref="A188:E188"/>
    <mergeCell ref="A209:E209"/>
    <mergeCell ref="C191:D191"/>
    <mergeCell ref="A189:E189"/>
    <mergeCell ref="A205:E205"/>
    <mergeCell ref="A204:E204"/>
    <mergeCell ref="A199:E199"/>
    <mergeCell ref="A198:E198"/>
    <mergeCell ref="A193:E193"/>
    <mergeCell ref="A201:E201"/>
    <mergeCell ref="A108:E108"/>
    <mergeCell ref="A658:E658"/>
    <mergeCell ref="A215:E215"/>
    <mergeCell ref="A202:E202"/>
    <mergeCell ref="A203:E203"/>
    <mergeCell ref="A237:E237"/>
    <mergeCell ref="A338:E338"/>
    <mergeCell ref="A359:E359"/>
    <mergeCell ref="A382:E382"/>
    <mergeCell ref="A178:E178"/>
    <mergeCell ref="A387:E387"/>
    <mergeCell ref="A230:E230"/>
    <mergeCell ref="A318:E318"/>
    <mergeCell ref="A319:E319"/>
    <mergeCell ref="A273:E273"/>
    <mergeCell ref="A243:E243"/>
    <mergeCell ref="A247:E247"/>
    <mergeCell ref="A246:E246"/>
    <mergeCell ref="A232:E232"/>
    <mergeCell ref="A245:E245"/>
    <mergeCell ref="A222:E222"/>
    <mergeCell ref="A370:E370"/>
    <mergeCell ref="A264:E264"/>
    <mergeCell ref="A186:E186"/>
    <mergeCell ref="A219:E219"/>
    <mergeCell ref="A220:E220"/>
    <mergeCell ref="A221:E221"/>
    <mergeCell ref="A223:E223"/>
    <mergeCell ref="A224:E224"/>
    <mergeCell ref="A225:E225"/>
  </mergeCells>
  <printOptions horizontalCentered="1"/>
  <pageMargins left="0.3937007874015748" right="0.1968503937007874" top="0.25" bottom="0.2" header="0.2362204724409449" footer="0.1968503937007874"/>
  <pageSetup fitToHeight="4" horizontalDpi="600" verticalDpi="600" orientation="landscape" paperSize="9" scale="80" r:id="rId1"/>
  <rowBreaks count="1" manualBreakCount="1">
    <brk id="6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kuba</cp:lastModifiedBy>
  <cp:lastPrinted>2018-11-29T15:09:36Z</cp:lastPrinted>
  <dcterms:created xsi:type="dcterms:W3CDTF">1996-10-08T23:32:33Z</dcterms:created>
  <dcterms:modified xsi:type="dcterms:W3CDTF">2018-12-06T07:59:06Z</dcterms:modified>
  <cp:category/>
  <cp:version/>
  <cp:contentType/>
  <cp:contentStatus/>
</cp:coreProperties>
</file>