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'дод.3'!$B$1:$Q$258</definedName>
  </definedNames>
  <calcPr fullCalcOnLoad="1"/>
</workbook>
</file>

<file path=xl/sharedStrings.xml><?xml version="1.0" encoding="utf-8"?>
<sst xmlns="http://schemas.openxmlformats.org/spreadsheetml/2006/main" count="498" uniqueCount="402">
  <si>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</si>
  <si>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</si>
  <si>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</si>
  <si>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</si>
  <si>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</si>
  <si>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</si>
  <si>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</si>
  <si>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</si>
  <si>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</si>
  <si>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</si>
  <si>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Субвенції</t>
  </si>
  <si>
    <t>0100000</t>
  </si>
  <si>
    <t>бюджет розвитку</t>
  </si>
  <si>
    <t xml:space="preserve">Всього </t>
  </si>
  <si>
    <t>0110170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</si>
  <si>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</si>
  <si>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</si>
  <si>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</si>
  <si>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</si>
  <si>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</si>
  <si>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Код ФКВКБ/ КТКВК</t>
  </si>
  <si>
    <t>Освіта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</si>
  <si>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</si>
  <si>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</si>
  <si>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</si>
  <si>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</si>
  <si>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</si>
  <si>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</si>
  <si>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2030</t>
  </si>
  <si>
    <t>Спеціалізована стаціонарна медична допомога населенню</t>
  </si>
  <si>
    <t>2060</t>
  </si>
  <si>
    <t>Санаторне лікування хворих на туберкульоз</t>
  </si>
  <si>
    <t>2070</t>
  </si>
  <si>
    <t>Санаторне лікування дітей та підлітків із соматичними захворюваннями (крім туберкульозу)</t>
  </si>
  <si>
    <t>2090</t>
  </si>
  <si>
    <t>Медико-соціальний захист дітей-сиріт і дітей, позбавлених батьківського піклування</t>
  </si>
  <si>
    <t>2100</t>
  </si>
  <si>
    <t>Створення банків крові та її компонентів</t>
  </si>
  <si>
    <t>2110</t>
  </si>
  <si>
    <t>2130</t>
  </si>
  <si>
    <t>Спеціалізована амбулаторно-поліклінічна допомога населенню</t>
  </si>
  <si>
    <t>2170</t>
  </si>
  <si>
    <t>Інформаційно-методичне та просвітницьке забезпечення в галузі охорони здоров'я</t>
  </si>
  <si>
    <t>2190</t>
  </si>
  <si>
    <t>Проведення належної медико-соціальної експертизи (МСЕК)</t>
  </si>
  <si>
    <t>2220</t>
  </si>
  <si>
    <t>Інші заходи у галузі охорони здоров'я 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</si>
  <si>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</si>
  <si>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</si>
  <si>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</si>
  <si>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</si>
  <si>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 xml:space="preserve">Субвенція на відшкодування вартості лікарських засобів для лікування окремих захворювань 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</si>
  <si>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</si>
  <si>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</si>
  <si>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</si>
  <si>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</si>
  <si>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2214</t>
  </si>
  <si>
    <t>Забезпечення централізованих заходів з лікування хворих на цукровий та нецукровий діабет</t>
  </si>
  <si>
    <t>Культура і мистецтво</t>
  </si>
  <si>
    <t>4060</t>
  </si>
  <si>
    <t>Бібліотеки </t>
  </si>
  <si>
    <t>0941/ 070601</t>
  </si>
  <si>
    <t>0950/ 070701</t>
  </si>
  <si>
    <t>0731/ 080101</t>
  </si>
  <si>
    <t>0732/ 080201</t>
  </si>
  <si>
    <t>0734/ 080204</t>
  </si>
  <si>
    <t>0734/ 080205</t>
  </si>
  <si>
    <t>0761/ 080207</t>
  </si>
  <si>
    <t>0762/ 080208</t>
  </si>
  <si>
    <t>0724/ 080209</t>
  </si>
  <si>
    <t>0722/ 080400</t>
  </si>
  <si>
    <t>0740/ 080704</t>
  </si>
  <si>
    <t>0763/ 081001</t>
  </si>
  <si>
    <t>0763/ 081002</t>
  </si>
  <si>
    <t>0763/ 081003</t>
  </si>
  <si>
    <t>0763/ 081009</t>
  </si>
  <si>
    <t>0824/ 110201</t>
  </si>
  <si>
    <t>(тис. грн.)</t>
  </si>
  <si>
    <t>1500000</t>
  </si>
  <si>
    <t>1510000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</si>
  <si>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</si>
  <si>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</si>
  <si>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</si>
  <si>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</si>
  <si>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</si>
  <si>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</si>
  <si>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</si>
  <si>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</si>
  <si>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 xml:space="preserve"> Центри соціальних служб для сім'ї, дітей та молоді</t>
  </si>
  <si>
    <t>Програми і заходи центрів соціальних служб для сім'ї, дітей та молоді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</si>
  <si>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</si>
  <si>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Забезпечення обробки інформації з нарахування та виплати допомог і компенсацій</t>
  </si>
  <si>
    <t>Інші установи та заклади</t>
  </si>
  <si>
    <t>1513400</t>
  </si>
  <si>
    <t>3400</t>
  </si>
  <si>
    <t xml:space="preserve">Інші видатки на соціальний захист населення </t>
  </si>
  <si>
    <t>Інші видатки</t>
  </si>
  <si>
    <t>Видатки не віднесені до основних груп</t>
  </si>
  <si>
    <t>Департамент соціальної та молодіжної політики ОДА</t>
  </si>
  <si>
    <t>1020/ 090901</t>
  </si>
  <si>
    <t>1040/ 091101</t>
  </si>
  <si>
    <t>1040/ 090700</t>
  </si>
  <si>
    <t>1040/ 091102</t>
  </si>
  <si>
    <t>1040/ 091103</t>
  </si>
  <si>
    <t>1010/ 090601</t>
  </si>
  <si>
    <t>1030/ 091209</t>
  </si>
  <si>
    <t>1090/ 091212</t>
  </si>
  <si>
    <t>1090/ 091214</t>
  </si>
  <si>
    <t>1090/ 090412</t>
  </si>
  <si>
    <t>1040/ 091106</t>
  </si>
  <si>
    <t>2000000</t>
  </si>
  <si>
    <t>2010000</t>
  </si>
  <si>
    <t>2013110</t>
  </si>
  <si>
    <t>3110</t>
  </si>
  <si>
    <t>2013111</t>
  </si>
  <si>
    <t>3111</t>
  </si>
  <si>
    <t>1040 /090700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</si>
  <si>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</si>
  <si>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</si>
  <si>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</si>
  <si>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Творчі спілки </t>
  </si>
  <si>
    <t>Театри </t>
  </si>
  <si>
    <t>Філармонії, музичні колективи і ансамблі та інші мистецькі заклади та заходи </t>
  </si>
  <si>
    <t>Музеї і виставки </t>
  </si>
  <si>
    <t>Заповідники </t>
  </si>
  <si>
    <t>Кінематографія </t>
  </si>
  <si>
    <t>Інші культурно-освітні заклади та заходи </t>
  </si>
  <si>
    <t>Управління культури і мистецтв ОДА</t>
  </si>
  <si>
    <t>0829/ 110101</t>
  </si>
  <si>
    <t>0821/ 110102</t>
  </si>
  <si>
    <t>0822/ 110103</t>
  </si>
  <si>
    <t>0824/ 110202</t>
  </si>
  <si>
    <t>0827/ 110203</t>
  </si>
  <si>
    <t>0823/ 110300</t>
  </si>
  <si>
    <t>0829/ 110502</t>
  </si>
  <si>
    <t>1300000</t>
  </si>
  <si>
    <t>1310000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</si>
  <si>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</si>
  <si>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</si>
  <si>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</si>
  <si>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</si>
  <si>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</si>
  <si>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0810/ 130114</t>
  </si>
  <si>
    <t>Забезпечення підготовки спортсменів вищих категорій школами вищої спортивної майстерності</t>
  </si>
  <si>
    <t>1315022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</si>
  <si>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</si>
  <si>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</si>
  <si>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</si>
  <si>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</si>
  <si>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130110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</si>
  <si>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</si>
  <si>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</si>
  <si>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0810/ 130204</t>
  </si>
  <si>
    <t>0810/ 130104</t>
  </si>
  <si>
    <t>Утримання центрів з інвалідного спорту і реабілітаційних шкіл</t>
  </si>
  <si>
    <t>0810/ 130105</t>
  </si>
  <si>
    <t>Проведення навчально-тренувальних зборів і змагань та заходів з інвалідного спорту</t>
  </si>
  <si>
    <t>0810/ 130115</t>
  </si>
  <si>
    <t>0810/ 130112</t>
  </si>
  <si>
    <t>Управління фізичної культури і спорту ОДА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</si>
  <si>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</si>
  <si>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</si>
  <si>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</si>
  <si>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</si>
  <si>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</si>
  <si>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Підготовка кадрів вищими навчальними закладами І і ІІ рівнів акредитації   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</si>
  <si>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</si>
  <si>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 xml:space="preserve"> Інші освітні програми     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</si>
  <si>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</si>
  <si>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</si>
  <si>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 xml:space="preserve"> Палаци i будинки культури, клуби та iншi заклади клубного типу   </t>
  </si>
  <si>
    <t>0922/ 070301</t>
  </si>
  <si>
    <t>0922/ 070302</t>
  </si>
  <si>
    <t>0910/ 070303</t>
  </si>
  <si>
    <t>0922/ 070304</t>
  </si>
  <si>
    <t>0922/ 070307</t>
  </si>
  <si>
    <t>0960/ 070401</t>
  </si>
  <si>
    <t>0930/ 070501</t>
  </si>
  <si>
    <t>0990/ 070806</t>
  </si>
  <si>
    <t>0990/ 070807</t>
  </si>
  <si>
    <t>1040/ 091108</t>
  </si>
  <si>
    <t>0828/ 110204</t>
  </si>
  <si>
    <t>0117500</t>
  </si>
  <si>
    <t>Інші заходи, пов'язані з економічною діяльністю</t>
  </si>
  <si>
    <t>Обласна рада</t>
  </si>
  <si>
    <t>0411/ 180410</t>
  </si>
  <si>
    <t>7500</t>
  </si>
  <si>
    <t>0917450</t>
  </si>
  <si>
    <t>Сприяння розвитку малого і середнього підприємництва</t>
  </si>
  <si>
    <t>0917420</t>
  </si>
  <si>
    <t>0917421</t>
  </si>
  <si>
    <t>Програма економічного і соціального розвитку Вінницької області на 2017 рік</t>
  </si>
  <si>
    <t>0917422</t>
  </si>
  <si>
    <t>0917423</t>
  </si>
  <si>
    <t>Програма розвитку міжнародного та транскордонного співробітництва на 2016-2020 роки</t>
  </si>
  <si>
    <t>0917700</t>
  </si>
  <si>
    <t>Інші природоохоронні заходи</t>
  </si>
  <si>
    <t>0918600</t>
  </si>
  <si>
    <t>0918601</t>
  </si>
  <si>
    <t xml:space="preserve">Обласний конкурс розвитку територіальних громад області 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</si>
  <si>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</si>
  <si>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</si>
  <si>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0900000</t>
  </si>
  <si>
    <t>0910000</t>
  </si>
  <si>
    <t>0411/ 180404</t>
  </si>
  <si>
    <t>0490/ 180109</t>
  </si>
  <si>
    <t>0133/ 250404</t>
  </si>
  <si>
    <t>0917400</t>
  </si>
  <si>
    <t>Інші послуги, пов'язані з економічною діяльністю</t>
  </si>
  <si>
    <t>2714200</t>
  </si>
  <si>
    <t xml:space="preserve">Інші культурно-освітні заклади та заходи </t>
  </si>
  <si>
    <t>2714201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</si>
  <si>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</si>
  <si>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</si>
  <si>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</si>
  <si>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</si>
  <si>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</si>
  <si>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</si>
  <si>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</si>
  <si>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</si>
  <si>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</si>
  <si>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</si>
  <si>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</si>
  <si>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</si>
  <si>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</si>
  <si>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</si>
  <si>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</si>
  <si>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</si>
  <si>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3018602</t>
  </si>
  <si>
    <t>4016130</t>
  </si>
  <si>
    <t xml:space="preserve"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 </t>
  </si>
  <si>
    <t>4017410</t>
  </si>
  <si>
    <t>Заходи з енергозбереження</t>
  </si>
  <si>
    <t>Реалізація інвестиційних проектів</t>
  </si>
  <si>
    <t>5317310</t>
  </si>
  <si>
    <t>Проведення заходів з землеустрою </t>
  </si>
  <si>
    <t>5317320</t>
  </si>
  <si>
    <t>Програми в галузі сільського господарства і мисливства</t>
  </si>
  <si>
    <t>5317321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</si>
  <si>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</si>
  <si>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</si>
  <si>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</si>
  <si>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Заходи з проведення лабораторно-діагностичних,
лікувально-профілактичних робіт, утримання
ветеринарних лікарень та ветеринарних лабораторій</t>
  </si>
  <si>
    <t>5318600</t>
  </si>
  <si>
    <t>6717810</t>
  </si>
  <si>
    <t>Видатки на запобігання та ліквідацію надзвичайних ситуацій та наслідків стихійного лиха</t>
  </si>
  <si>
    <t>6717820</t>
  </si>
  <si>
    <t xml:space="preserve">Заходи у сфері захисту населення і територій від надзвичайних ситуацій техногенного та природного характеру 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</si>
  <si>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</si>
  <si>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</si>
  <si>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</si>
  <si>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0830/ 120000</t>
  </si>
  <si>
    <t>0830/ 120100</t>
  </si>
  <si>
    <t>0830/ 120201</t>
  </si>
  <si>
    <t>0830/ 120300</t>
  </si>
  <si>
    <t>0830/ 120400</t>
  </si>
  <si>
    <t>7210</t>
  </si>
  <si>
    <t>7211</t>
  </si>
  <si>
    <t>7212</t>
  </si>
  <si>
    <t>7213</t>
  </si>
  <si>
    <t>Засоби масової інформації</t>
  </si>
  <si>
    <t>0620/ 100302</t>
  </si>
  <si>
    <t>0470/ 180107</t>
  </si>
  <si>
    <t>Житлово-комунальне господарство</t>
  </si>
  <si>
    <t>Інші послуги пов'язані з економічною діяльністю</t>
  </si>
  <si>
    <t>Департамент будівництва, містобудування та архітектури ОДА</t>
  </si>
  <si>
    <t>0490/ 150101</t>
  </si>
  <si>
    <t>0470/ 150122</t>
  </si>
  <si>
    <t>Будівництво</t>
  </si>
  <si>
    <t>Попередження ававрій та запобігання техногенним катастрофам у житлово-комунальному господарстві та на інших ававрійних об'єктах комунальної власності</t>
  </si>
  <si>
    <t>Департамент агропромислового розвитку ОДА</t>
  </si>
  <si>
    <t>0421/ 160101 </t>
  </si>
  <si>
    <t>0422/ 160903</t>
  </si>
  <si>
    <t>0421/ 160904</t>
  </si>
  <si>
    <t>Сільське і лісове господарство, рибне господарство та мисливство</t>
  </si>
  <si>
    <t>0320/ 210105</t>
  </si>
  <si>
    <t>0220/ 210106</t>
  </si>
  <si>
    <t>Запобігання та ліквідація надзвичайних ситуацій та наслідків стихійного лиха</t>
  </si>
  <si>
    <t>Департамент освіти і науки ОДА</t>
  </si>
  <si>
    <t>0110100</t>
  </si>
  <si>
    <t>0100</t>
  </si>
  <si>
    <t>Державне управління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</si>
  <si>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</si>
  <si>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</si>
  <si>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Департамент фінансів ОДА</t>
  </si>
  <si>
    <t>Резервний фонд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</si>
  <si>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</si>
  <si>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</si>
  <si>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Субвенція з державного бюджету місцевим бюджетам на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</si>
  <si>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</si>
  <si>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</si>
  <si>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0133/ 250102</t>
  </si>
  <si>
    <t>0180/ 250339</t>
  </si>
  <si>
    <t>Медична субвенція з державного бюджету місцевим бюжетам</t>
  </si>
  <si>
    <t>0180/ 250326</t>
  </si>
  <si>
    <t>0180/ 250328</t>
  </si>
  <si>
    <t xml:space="preserve">0180/ 250330 </t>
  </si>
  <si>
    <t xml:space="preserve">0180/ 250376 </t>
  </si>
  <si>
    <t>0180/ 250380</t>
  </si>
  <si>
    <t>Директор Департаменту фінансів Вінницької ОДА</t>
  </si>
  <si>
    <t>М.Копачевський</t>
  </si>
  <si>
    <t>0118600</t>
  </si>
  <si>
    <t>0113400</t>
  </si>
  <si>
    <t>в тому числі: Цільові видатки на  виплату щомісячної державної допомоги ВІЛ-інфікованим дітям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</si>
  <si>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</si>
  <si>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                             0180/    250300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</si>
  <si>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</si>
  <si>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Утримання інших закладів освіти                                                                                                          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</si>
  <si>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</si>
  <si>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</si>
  <si>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</si>
  <si>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</si>
  <si>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</si>
  <si>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УТОЧНЕНИЙ РОЗПОДІЛ</t>
    </r>
    <r>
      <rPr>
        <b/>
        <sz val="14"/>
        <rFont val="Times New Roman"/>
        <family val="0"/>
      </rPr>
      <t xml:space="preserve">
видатків обласного бюджету  на 2017 рік</t>
    </r>
  </si>
  <si>
    <t>1040/091104</t>
  </si>
  <si>
    <t>Заходи державної політики із забезпечення рівних прав та можливостей жінок та чоловіків</t>
  </si>
  <si>
    <t>1040/    091104</t>
  </si>
  <si>
    <t>1040/    091108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</si>
  <si>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</si>
  <si>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</si>
  <si>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Керівник апарату облдержадміністрації      </t>
  </si>
  <si>
    <t xml:space="preserve">    В.БОЙКО</t>
  </si>
  <si>
    <t>Розвиток дитячо-юнацького та резервного спорту</t>
  </si>
  <si>
    <t>Підтримка і розвиток спортивної інфраструктури</t>
  </si>
  <si>
    <t>Утримання комунальних спортивних споруд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</si>
  <si>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</si>
  <si>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</si>
  <si>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</si>
  <si>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</si>
  <si>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</si>
  <si>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0421/        160903</t>
  </si>
  <si>
    <t>0180/   250388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</si>
  <si>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</si>
  <si>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0490/   180409</t>
  </si>
  <si>
    <t>Внески до статутного капіталу суб'єктів господарювання</t>
  </si>
  <si>
    <t xml:space="preserve">Підготовка робітничих кадрів професійно-технічними закладами та іншими закладами освіти  </t>
  </si>
  <si>
    <t>Програми в галузі сільського господарства, лісового господарства, рибальства та мисливства</t>
  </si>
  <si>
    <t>Програма стабілізації та соціально-економічного розвитку територій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</si>
  <si>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</si>
  <si>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</si>
  <si>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Здійснення фізкультурно-спортивної та реабілітаційної роботи серед інвалідів</t>
  </si>
  <si>
    <t>Багатопрофільна стаціонарна медична допомога населенню</t>
  </si>
  <si>
    <t>Заходи державної політики з питань сім'ї</t>
  </si>
  <si>
    <t>Збереження природно-заповідного фонду</t>
  </si>
  <si>
    <t>0520/    240605</t>
  </si>
  <si>
    <t>0513/   240603</t>
  </si>
  <si>
    <t>Ліквідація іншого забруднення навколишнього природного середовища</t>
  </si>
  <si>
    <t>0540/   240604</t>
  </si>
  <si>
    <t>Інша діяльність у сфері охорони навколишнього природного середовища</t>
  </si>
  <si>
    <t>Департамент екології та природних ресурсів ОДА</t>
  </si>
  <si>
    <t>0511/   240601</t>
  </si>
  <si>
    <t>Охорона та раціональне використання природних ресурсів</t>
  </si>
  <si>
    <t>0540/ 200700</t>
  </si>
  <si>
    <t>0180/   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</si>
  <si>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</si>
  <si>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</si>
  <si>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</si>
  <si>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</si>
  <si>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</si>
  <si>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</si>
  <si>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</si>
  <si>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</si>
  <si>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</si>
  <si>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</si>
  <si>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</si>
  <si>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</si>
  <si>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Головне управління Національної поліціїї у Вінницькій області</t>
  </si>
  <si>
    <t>Управління патрульної поліції у м.Вінниці Департаменту патрульної поліції</t>
  </si>
  <si>
    <t xml:space="preserve"> Департамент захисту економіки Національної поліції України</t>
  </si>
  <si>
    <t>Військова частина 3008 Національної гвардії України</t>
  </si>
  <si>
    <t>Військова частина А2656</t>
  </si>
  <si>
    <t>Військова частина А1119</t>
  </si>
  <si>
    <t>Військова частина В 4050</t>
  </si>
  <si>
    <t>Могилів-Подільський прикордонний загін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</si>
  <si>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</si>
  <si>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</si>
  <si>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</si>
  <si>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</si>
  <si>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інші заходи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</si>
  <si>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</si>
  <si>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в тому числі: Військова частина 3028 Національної гвардії України</t>
  </si>
  <si>
    <t>0411/       180410</t>
  </si>
  <si>
    <t>0917500</t>
  </si>
  <si>
    <t>0411/    180410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</si>
  <si>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</si>
  <si>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</si>
  <si>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Реалізація заходів щодо інвестиційного розвитку території</t>
  </si>
  <si>
    <t>0180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</si>
  <si>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</si>
  <si>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</si>
  <si>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0810/              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</si>
  <si>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</si>
  <si>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 т.ч. - КЗ "База спеціального медичного постачання"</t>
  </si>
  <si>
    <t>Надання екстреної та швидкої медичної допомоги населенню</t>
  </si>
  <si>
    <t>0829/ 150201</t>
  </si>
  <si>
    <t>Збереження, розвиток, реконструкція та реставрація пам"яток історії та культури</t>
  </si>
  <si>
    <t>0511/  240601</t>
  </si>
  <si>
    <t>1060/   150109</t>
  </si>
  <si>
    <t>Будівництво та придбання житла для окремих категорій населення</t>
  </si>
  <si>
    <t>Утримання та розвиток інфраструктури доріг</t>
  </si>
  <si>
    <t>Додаток 1
до розпорядження голови 
обласної державної адміністрації</t>
  </si>
  <si>
    <t>26 квітня 2017 року № 293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</si>
</sst>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#,##0.00000"/>
    <numFmt numFmtId="200" formatCode="#,##0.000000"/>
    <numFmt numFmtId="201" formatCode="#,##0.0000000"/>
    <numFmt numFmtId="202" formatCode="#,##0.00000000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10"/>
      <color indexed="14"/>
      <name val="Times New Roman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24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1" applyNumberFormat="0" applyAlignment="0" applyProtection="0"/>
    <xf numFmtId="0" fontId="9" fillId="7" borderId="2" applyNumberFormat="0" applyAlignment="0" applyProtection="0"/>
    <xf numFmtId="18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72" fillId="46" borderId="0" applyNumberFormat="0" applyBorder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 vertical="top"/>
      <protection/>
    </xf>
    <xf numFmtId="0" fontId="76" fillId="0" borderId="7" applyNumberFormat="0" applyFill="0" applyAlignment="0" applyProtection="0"/>
    <xf numFmtId="0" fontId="14" fillId="0" borderId="8" applyNumberFormat="0" applyFill="0" applyAlignment="0" applyProtection="0"/>
    <xf numFmtId="0" fontId="77" fillId="47" borderId="9" applyNumberFormat="0" applyAlignment="0" applyProtection="0"/>
    <xf numFmtId="0" fontId="12" fillId="48" borderId="10" applyNumberFormat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19" fillId="50" borderId="0" applyNumberFormat="0" applyBorder="0" applyAlignment="0" applyProtection="0"/>
    <xf numFmtId="0" fontId="80" fillId="51" borderId="1" applyNumberFormat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27" fillId="0" borderId="0" applyNumberFormat="0" applyFill="0" applyBorder="0" applyAlignment="0" applyProtection="0"/>
    <xf numFmtId="0" fontId="81" fillId="0" borderId="11" applyNumberFormat="0" applyFill="0" applyAlignment="0" applyProtection="0"/>
    <xf numFmtId="0" fontId="8" fillId="3" borderId="0" applyNumberFormat="0" applyBorder="0" applyAlignment="0" applyProtection="0"/>
    <xf numFmtId="0" fontId="82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83" fillId="51" borderId="14" applyNumberFormat="0" applyAlignment="0" applyProtection="0"/>
    <xf numFmtId="0" fontId="20" fillId="0" borderId="15" applyNumberFormat="0" applyFill="0" applyAlignment="0" applyProtection="0"/>
    <xf numFmtId="0" fontId="2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29" fillId="0" borderId="18" xfId="0" applyNumberFormat="1" applyFont="1" applyFill="1" applyBorder="1" applyAlignment="1">
      <alignment horizontal="center" vertical="center" wrapText="1"/>
    </xf>
    <xf numFmtId="198" fontId="34" fillId="0" borderId="18" xfId="96" applyNumberFormat="1" applyFont="1" applyFill="1" applyBorder="1" applyAlignment="1">
      <alignment horizontal="center" vertical="center"/>
      <protection/>
    </xf>
    <xf numFmtId="49" fontId="39" fillId="0" borderId="18" xfId="0" applyNumberFormat="1" applyFont="1" applyFill="1" applyBorder="1" applyAlignment="1">
      <alignment horizontal="center" vertical="center" wrapText="1"/>
    </xf>
    <xf numFmtId="198" fontId="36" fillId="0" borderId="18" xfId="96" applyNumberFormat="1" applyFont="1" applyFill="1" applyBorder="1" applyAlignment="1">
      <alignment horizontal="center" vertical="center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198" fontId="35" fillId="0" borderId="18" xfId="96" applyNumberFormat="1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198" fontId="44" fillId="0" borderId="18" xfId="96" applyNumberFormat="1" applyFont="1" applyFill="1" applyBorder="1" applyAlignment="1">
      <alignment horizontal="center" vertical="center"/>
      <protection/>
    </xf>
    <xf numFmtId="198" fontId="45" fillId="0" borderId="18" xfId="96" applyNumberFormat="1" applyFont="1" applyFill="1" applyBorder="1" applyAlignment="1">
      <alignment horizontal="center" vertical="center"/>
      <protection/>
    </xf>
    <xf numFmtId="0" fontId="43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8" fillId="0" borderId="18" xfId="0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198" fontId="33" fillId="0" borderId="18" xfId="96" applyNumberFormat="1" applyFont="1" applyFill="1" applyBorder="1" applyAlignment="1">
      <alignment horizontal="center" vertical="center"/>
      <protection/>
    </xf>
    <xf numFmtId="198" fontId="33" fillId="0" borderId="18" xfId="96" applyNumberFormat="1" applyFont="1" applyFill="1" applyBorder="1" applyAlignment="1">
      <alignment horizontal="center" vertical="center" wrapText="1"/>
      <protection/>
    </xf>
    <xf numFmtId="198" fontId="31" fillId="0" borderId="18" xfId="96" applyNumberFormat="1" applyFont="1" applyFill="1" applyBorder="1" applyAlignment="1">
      <alignment horizontal="center" vertical="center" wrapText="1"/>
      <protection/>
    </xf>
    <xf numFmtId="49" fontId="30" fillId="0" borderId="18" xfId="0" applyNumberFormat="1" applyFont="1" applyFill="1" applyBorder="1" applyAlignment="1">
      <alignment horizontal="center" wrapText="1"/>
    </xf>
    <xf numFmtId="198" fontId="31" fillId="0" borderId="18" xfId="96" applyNumberFormat="1" applyFont="1" applyFill="1" applyBorder="1" applyAlignment="1">
      <alignment horizontal="center" vertical="center"/>
      <protection/>
    </xf>
    <xf numFmtId="198" fontId="21" fillId="0" borderId="18" xfId="96" applyNumberFormat="1" applyFont="1" applyFill="1" applyBorder="1" applyAlignment="1">
      <alignment horizontal="center" vertical="center"/>
      <protection/>
    </xf>
    <xf numFmtId="198" fontId="33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8" fontId="21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98" fontId="49" fillId="0" borderId="0" xfId="0" applyNumberFormat="1" applyFont="1" applyFill="1" applyBorder="1" applyAlignment="1">
      <alignment horizontal="center" vertical="center"/>
    </xf>
    <xf numFmtId="198" fontId="51" fillId="0" borderId="18" xfId="96" applyNumberFormat="1" applyFont="1" applyFill="1" applyBorder="1" applyAlignment="1">
      <alignment horizontal="center" vertical="center"/>
      <protection/>
    </xf>
    <xf numFmtId="198" fontId="5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198" fontId="47" fillId="0" borderId="0" xfId="107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48" fillId="0" borderId="0" xfId="0" applyNumberFormat="1" applyFont="1" applyFill="1" applyBorder="1" applyAlignment="1" applyProtection="1">
      <alignment/>
      <protection/>
    </xf>
    <xf numFmtId="202" fontId="50" fillId="0" borderId="0" xfId="0" applyNumberFormat="1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88" fontId="21" fillId="0" borderId="0" xfId="0" applyNumberFormat="1" applyFont="1" applyFill="1" applyBorder="1" applyAlignment="1" applyProtection="1">
      <alignment/>
      <protection/>
    </xf>
    <xf numFmtId="0" fontId="29" fillId="0" borderId="18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187" fontId="30" fillId="0" borderId="21" xfId="0" applyNumberFormat="1" applyFont="1" applyFill="1" applyBorder="1" applyAlignment="1">
      <alignment horizontal="left" vertical="center" wrapText="1"/>
    </xf>
    <xf numFmtId="198" fontId="52" fillId="0" borderId="18" xfId="96" applyNumberFormat="1" applyFont="1" applyFill="1" applyBorder="1" applyAlignment="1">
      <alignment horizontal="center" vertical="center"/>
      <protection/>
    </xf>
    <xf numFmtId="198" fontId="0" fillId="0" borderId="18" xfId="96" applyNumberFormat="1" applyFont="1" applyFill="1" applyBorder="1" applyAlignment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198" fontId="54" fillId="0" borderId="18" xfId="96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197" fontId="49" fillId="0" borderId="0" xfId="0" applyNumberFormat="1" applyFont="1" applyFill="1" applyAlignment="1">
      <alignment/>
    </xf>
    <xf numFmtId="199" fontId="34" fillId="0" borderId="18" xfId="96" applyNumberFormat="1" applyFont="1" applyFill="1" applyBorder="1" applyAlignment="1">
      <alignment horizontal="center" vertical="center"/>
      <protection/>
    </xf>
    <xf numFmtId="198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197" fontId="49" fillId="0" borderId="0" xfId="0" applyNumberFormat="1" applyFont="1" applyFill="1" applyAlignment="1">
      <alignment horizontal="center" vertical="center"/>
    </xf>
    <xf numFmtId="198" fontId="56" fillId="0" borderId="18" xfId="96" applyNumberFormat="1" applyFont="1" applyFill="1" applyBorder="1" applyAlignment="1">
      <alignment horizontal="center" vertical="center"/>
      <protection/>
    </xf>
    <xf numFmtId="198" fontId="57" fillId="0" borderId="18" xfId="96" applyNumberFormat="1" applyFont="1" applyFill="1" applyBorder="1" applyAlignment="1">
      <alignment horizontal="center" vertical="center"/>
      <protection/>
    </xf>
    <xf numFmtId="198" fontId="60" fillId="0" borderId="18" xfId="96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99" fontId="36" fillId="0" borderId="18" xfId="96" applyNumberFormat="1" applyFont="1" applyFill="1" applyBorder="1" applyAlignment="1">
      <alignment horizontal="center" vertical="center"/>
      <protection/>
    </xf>
    <xf numFmtId="199" fontId="54" fillId="0" borderId="18" xfId="96" applyNumberFormat="1" applyFont="1" applyFill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 wrapText="1"/>
    </xf>
    <xf numFmtId="198" fontId="58" fillId="0" borderId="18" xfId="96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198" fontId="61" fillId="0" borderId="18" xfId="96" applyNumberFormat="1" applyFont="1" applyFill="1" applyBorder="1" applyAlignment="1">
      <alignment horizontal="center" vertical="center"/>
      <protection/>
    </xf>
    <xf numFmtId="199" fontId="49" fillId="0" borderId="0" xfId="0" applyNumberFormat="1" applyFont="1" applyFill="1" applyBorder="1" applyAlignment="1">
      <alignment horizontal="center" vertical="center"/>
    </xf>
    <xf numFmtId="199" fontId="53" fillId="0" borderId="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199" fontId="35" fillId="0" borderId="18" xfId="96" applyNumberFormat="1" applyFont="1" applyFill="1" applyBorder="1" applyAlignment="1">
      <alignment horizontal="center" vertical="center"/>
      <protection/>
    </xf>
    <xf numFmtId="198" fontId="59" fillId="0" borderId="18" xfId="96" applyNumberFormat="1" applyFont="1" applyFill="1" applyBorder="1" applyAlignment="1">
      <alignment horizontal="center" vertical="center"/>
      <protection/>
    </xf>
    <xf numFmtId="0" fontId="38" fillId="0" borderId="22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ZV1PIV98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7"/>
  <sheetViews>
    <sheetView showGridLines="0" showZeros="0" tabSelected="1" zoomScale="110" zoomScaleNormal="110" zoomScaleSheetLayoutView="100" zoomScalePageLayoutView="0" workbookViewId="0" topLeftCell="B1">
      <pane xSplit="4" ySplit="8" topLeftCell="K17" activePane="bottomRight" state="frozen"/>
      <selection pane="topLeft" activeCell="B1" sqref="B1"/>
      <selection pane="topRight" activeCell="F1" sqref="F1"/>
      <selection pane="bottomLeft" activeCell="B9" sqref="B9"/>
      <selection pane="bottomRight" activeCell="C17" sqref="C17:E17"/>
    </sheetView>
  </sheetViews>
  <sheetFormatPr defaultColWidth="9.16015625" defaultRowHeight="12.75"/>
  <cols>
    <col min="1" max="1" width="3.83203125" style="4" hidden="1" customWidth="1"/>
    <col min="2" max="2" width="12.33203125" style="9" customWidth="1"/>
    <col min="3" max="3" width="9.5" style="9" customWidth="1"/>
    <col min="4" max="4" width="11.66015625" style="9" customWidth="1"/>
    <col min="5" max="5" width="42" style="4" customWidth="1"/>
    <col min="6" max="6" width="16.33203125" style="14" customWidth="1"/>
    <col min="7" max="7" width="16.33203125" style="4" customWidth="1"/>
    <col min="8" max="8" width="15.83203125" style="4" customWidth="1"/>
    <col min="9" max="9" width="14" style="4" customWidth="1"/>
    <col min="10" max="10" width="18.33203125" style="4" customWidth="1"/>
    <col min="11" max="11" width="14.16015625" style="4" customWidth="1"/>
    <col min="12" max="14" width="12.66015625" style="4" customWidth="1"/>
    <col min="15" max="15" width="14.33203125" style="4" customWidth="1"/>
    <col min="16" max="16" width="13.66015625" style="4" customWidth="1"/>
    <col min="17" max="17" width="16.83203125" style="14" customWidth="1"/>
    <col min="18" max="18" width="4.5" style="3" customWidth="1"/>
    <col min="19" max="19" width="16.33203125" style="3" customWidth="1"/>
    <col min="20" max="20" width="17.5" style="3" customWidth="1"/>
    <col min="21" max="16384" width="9.16015625" style="3" customWidth="1"/>
  </cols>
  <sheetData>
    <row r="1" spans="1:18" ht="48" customHeight="1">
      <c r="A1" s="2"/>
      <c r="E1" s="2"/>
      <c r="F1" s="12"/>
      <c r="G1" s="1"/>
      <c r="H1" s="1"/>
      <c r="I1" s="1"/>
      <c r="J1" s="1"/>
      <c r="K1" s="1"/>
      <c r="L1" s="1"/>
      <c r="M1" s="1"/>
      <c r="N1" s="129" t="s">
        <v>400</v>
      </c>
      <c r="O1" s="129"/>
      <c r="P1" s="129"/>
      <c r="Q1" s="129"/>
      <c r="R1" s="16"/>
    </row>
    <row r="2" spans="1:18" ht="12.75" customHeight="1">
      <c r="A2" s="2"/>
      <c r="E2" s="2"/>
      <c r="F2" s="12"/>
      <c r="G2" s="1"/>
      <c r="H2" s="1"/>
      <c r="I2" s="1"/>
      <c r="J2" s="1"/>
      <c r="K2" s="1"/>
      <c r="L2" s="1"/>
      <c r="M2" s="1"/>
      <c r="N2" s="129" t="s">
        <v>401</v>
      </c>
      <c r="O2" s="129"/>
      <c r="P2" s="129"/>
      <c r="Q2" s="129"/>
      <c r="R2" s="16"/>
    </row>
    <row r="3" spans="1:17" ht="45" customHeight="1">
      <c r="A3" s="2"/>
      <c r="B3" s="131" t="s">
        <v>313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2:17" ht="18.75">
      <c r="B4" s="10"/>
      <c r="C4" s="11"/>
      <c r="D4" s="11"/>
      <c r="E4" s="5"/>
      <c r="F4" s="13"/>
      <c r="G4" s="5"/>
      <c r="H4" s="8"/>
      <c r="I4" s="5"/>
      <c r="J4" s="5"/>
      <c r="K4" s="6"/>
      <c r="L4" s="7"/>
      <c r="M4" s="7"/>
      <c r="N4" s="7"/>
      <c r="O4" s="7"/>
      <c r="P4" s="7"/>
      <c r="Q4" s="15" t="s">
        <v>77</v>
      </c>
    </row>
    <row r="5" spans="1:19" ht="21.75" customHeight="1">
      <c r="A5" s="25"/>
      <c r="B5" s="135" t="s">
        <v>16</v>
      </c>
      <c r="C5" s="135" t="s">
        <v>15</v>
      </c>
      <c r="D5" s="141" t="s">
        <v>20</v>
      </c>
      <c r="E5" s="140" t="s">
        <v>18</v>
      </c>
      <c r="F5" s="139" t="s">
        <v>0</v>
      </c>
      <c r="G5" s="139"/>
      <c r="H5" s="139"/>
      <c r="I5" s="139"/>
      <c r="J5" s="139"/>
      <c r="K5" s="139" t="s">
        <v>1</v>
      </c>
      <c r="L5" s="139"/>
      <c r="M5" s="139"/>
      <c r="N5" s="139"/>
      <c r="O5" s="139"/>
      <c r="P5" s="139"/>
      <c r="Q5" s="133" t="s">
        <v>2</v>
      </c>
      <c r="S5" s="61"/>
    </row>
    <row r="6" spans="1:19" ht="16.5" customHeight="1">
      <c r="A6" s="27"/>
      <c r="B6" s="136"/>
      <c r="C6" s="136"/>
      <c r="D6" s="141"/>
      <c r="E6" s="130"/>
      <c r="F6" s="138" t="s">
        <v>3</v>
      </c>
      <c r="G6" s="134" t="s">
        <v>4</v>
      </c>
      <c r="H6" s="130" t="s">
        <v>5</v>
      </c>
      <c r="I6" s="130"/>
      <c r="J6" s="134" t="s">
        <v>6</v>
      </c>
      <c r="K6" s="130" t="s">
        <v>3</v>
      </c>
      <c r="L6" s="134" t="s">
        <v>4</v>
      </c>
      <c r="M6" s="130" t="s">
        <v>5</v>
      </c>
      <c r="N6" s="130"/>
      <c r="O6" s="134" t="s">
        <v>6</v>
      </c>
      <c r="P6" s="26" t="s">
        <v>5</v>
      </c>
      <c r="Q6" s="133"/>
      <c r="S6" s="61"/>
    </row>
    <row r="7" spans="1:19" ht="20.25" customHeight="1">
      <c r="A7" s="28"/>
      <c r="B7" s="136"/>
      <c r="C7" s="136"/>
      <c r="D7" s="141"/>
      <c r="E7" s="130"/>
      <c r="F7" s="138"/>
      <c r="G7" s="134"/>
      <c r="H7" s="130" t="s">
        <v>7</v>
      </c>
      <c r="I7" s="130" t="s">
        <v>8</v>
      </c>
      <c r="J7" s="134"/>
      <c r="K7" s="130"/>
      <c r="L7" s="134"/>
      <c r="M7" s="130" t="s">
        <v>7</v>
      </c>
      <c r="N7" s="130" t="s">
        <v>8</v>
      </c>
      <c r="O7" s="134"/>
      <c r="P7" s="140" t="s">
        <v>12</v>
      </c>
      <c r="Q7" s="133"/>
      <c r="S7" s="61"/>
    </row>
    <row r="8" spans="1:19" ht="14.25" customHeight="1">
      <c r="A8" s="29"/>
      <c r="B8" s="137"/>
      <c r="C8" s="137"/>
      <c r="D8" s="141"/>
      <c r="E8" s="130"/>
      <c r="F8" s="138"/>
      <c r="G8" s="134"/>
      <c r="H8" s="130"/>
      <c r="I8" s="130"/>
      <c r="J8" s="134"/>
      <c r="K8" s="130"/>
      <c r="L8" s="134"/>
      <c r="M8" s="130"/>
      <c r="N8" s="130"/>
      <c r="O8" s="134"/>
      <c r="P8" s="140"/>
      <c r="Q8" s="133"/>
      <c r="S8" s="61"/>
    </row>
    <row r="9" spans="1:19" s="17" customFormat="1" ht="15.75" customHeight="1" hidden="1">
      <c r="A9" s="30"/>
      <c r="B9" s="31" t="s">
        <v>11</v>
      </c>
      <c r="C9" s="121" t="s">
        <v>184</v>
      </c>
      <c r="D9" s="122"/>
      <c r="E9" s="123"/>
      <c r="F9" s="32">
        <f aca="true" t="shared" si="0" ref="F9:F28">G9+J9</f>
        <v>16643.716</v>
      </c>
      <c r="G9" s="32">
        <f>G10</f>
        <v>16643.716</v>
      </c>
      <c r="H9" s="32">
        <f>H10</f>
        <v>5832.277</v>
      </c>
      <c r="I9" s="32">
        <f>I10</f>
        <v>300.963</v>
      </c>
      <c r="J9" s="32">
        <f>J10</f>
        <v>0</v>
      </c>
      <c r="K9" s="32">
        <f>L9+O9</f>
        <v>149.5</v>
      </c>
      <c r="L9" s="32">
        <f>L10</f>
        <v>0</v>
      </c>
      <c r="M9" s="32">
        <f>M10</f>
        <v>0</v>
      </c>
      <c r="N9" s="32">
        <f>N10</f>
        <v>0</v>
      </c>
      <c r="O9" s="32">
        <f>O10</f>
        <v>149.5</v>
      </c>
      <c r="P9" s="32">
        <f>P10</f>
        <v>149.5</v>
      </c>
      <c r="Q9" s="32">
        <f aca="true" t="shared" si="1" ref="Q9:Q15">K9+F9</f>
        <v>16793.216</v>
      </c>
      <c r="S9" s="61"/>
    </row>
    <row r="10" spans="2:19" ht="15" hidden="1">
      <c r="B10" s="33" t="s">
        <v>9</v>
      </c>
      <c r="C10" s="124" t="s">
        <v>184</v>
      </c>
      <c r="D10" s="125"/>
      <c r="E10" s="126"/>
      <c r="F10" s="34">
        <f t="shared" si="0"/>
        <v>16643.716</v>
      </c>
      <c r="G10" s="34">
        <f>G11+G14+G13+G15</f>
        <v>16643.716</v>
      </c>
      <c r="H10" s="34">
        <f>H11+H14+H13+H15</f>
        <v>5832.277</v>
      </c>
      <c r="I10" s="34">
        <f>I11+I14+I13+I15</f>
        <v>300.963</v>
      </c>
      <c r="J10" s="34">
        <f>J11+J14+J13+J15</f>
        <v>0</v>
      </c>
      <c r="K10" s="34">
        <f>L10+O10</f>
        <v>149.5</v>
      </c>
      <c r="L10" s="34">
        <f>L11+L14+L13+L15</f>
        <v>0</v>
      </c>
      <c r="M10" s="34">
        <f>M11+M14+M13+M15</f>
        <v>0</v>
      </c>
      <c r="N10" s="34">
        <f>N11+N14+N13+N15</f>
        <v>0</v>
      </c>
      <c r="O10" s="34">
        <f>O11+O14+O13+O15</f>
        <v>149.5</v>
      </c>
      <c r="P10" s="34">
        <f>P11+P14+P13+P15</f>
        <v>149.5</v>
      </c>
      <c r="Q10" s="34">
        <f t="shared" si="1"/>
        <v>16793.216</v>
      </c>
      <c r="S10" s="61"/>
    </row>
    <row r="11" spans="2:19" ht="14.25" hidden="1">
      <c r="B11" s="31" t="s">
        <v>279</v>
      </c>
      <c r="C11" s="31" t="s">
        <v>280</v>
      </c>
      <c r="D11" s="121" t="s">
        <v>281</v>
      </c>
      <c r="E11" s="123"/>
      <c r="F11" s="32">
        <f t="shared" si="0"/>
        <v>8043.716</v>
      </c>
      <c r="G11" s="32">
        <f>G12</f>
        <v>8043.716</v>
      </c>
      <c r="H11" s="32">
        <f>H12</f>
        <v>5832.277</v>
      </c>
      <c r="I11" s="32">
        <f>I12</f>
        <v>300.963</v>
      </c>
      <c r="J11" s="32">
        <f>J12</f>
        <v>0</v>
      </c>
      <c r="K11" s="32">
        <f>L11+O11</f>
        <v>149.5</v>
      </c>
      <c r="L11" s="32">
        <f>L12</f>
        <v>0</v>
      </c>
      <c r="M11" s="32">
        <f>M12</f>
        <v>0</v>
      </c>
      <c r="N11" s="32">
        <f>N12</f>
        <v>0</v>
      </c>
      <c r="O11" s="32">
        <f>O12</f>
        <v>149.5</v>
      </c>
      <c r="P11" s="32">
        <f>P12</f>
        <v>149.5</v>
      </c>
      <c r="Q11" s="32">
        <f t="shared" si="1"/>
        <v>8193.216</v>
      </c>
      <c r="S11" s="61"/>
    </row>
    <row r="12" spans="2:19" ht="105" hidden="1">
      <c r="B12" s="35" t="s">
        <v>14</v>
      </c>
      <c r="C12" s="35" t="s">
        <v>17</v>
      </c>
      <c r="D12" s="35" t="s">
        <v>282</v>
      </c>
      <c r="E12" s="36" t="s">
        <v>283</v>
      </c>
      <c r="F12" s="32">
        <f t="shared" si="0"/>
        <v>8043.716</v>
      </c>
      <c r="G12" s="37">
        <v>8043.716</v>
      </c>
      <c r="H12" s="37">
        <v>5832.277</v>
      </c>
      <c r="I12" s="37">
        <v>300.963</v>
      </c>
      <c r="J12" s="37"/>
      <c r="K12" s="37">
        <f>L12+O12</f>
        <v>149.5</v>
      </c>
      <c r="L12" s="37"/>
      <c r="M12" s="37"/>
      <c r="N12" s="37"/>
      <c r="O12" s="37">
        <v>149.5</v>
      </c>
      <c r="P12" s="37">
        <v>149.5</v>
      </c>
      <c r="Q12" s="32">
        <f t="shared" si="1"/>
        <v>8193.216</v>
      </c>
      <c r="S12" s="61"/>
    </row>
    <row r="13" spans="2:19" ht="30" hidden="1">
      <c r="B13" s="35" t="s">
        <v>302</v>
      </c>
      <c r="C13" s="38" t="s">
        <v>94</v>
      </c>
      <c r="D13" s="35" t="s">
        <v>108</v>
      </c>
      <c r="E13" s="36" t="s">
        <v>95</v>
      </c>
      <c r="F13" s="32">
        <f t="shared" si="0"/>
        <v>4000</v>
      </c>
      <c r="G13" s="37">
        <v>4000</v>
      </c>
      <c r="H13" s="37"/>
      <c r="I13" s="37"/>
      <c r="J13" s="37"/>
      <c r="K13" s="37"/>
      <c r="L13" s="37"/>
      <c r="M13" s="37"/>
      <c r="N13" s="37"/>
      <c r="O13" s="37"/>
      <c r="P13" s="37"/>
      <c r="Q13" s="32">
        <f t="shared" si="1"/>
        <v>4000</v>
      </c>
      <c r="S13" s="61"/>
    </row>
    <row r="14" spans="1:19" s="18" customFormat="1" ht="30" hidden="1">
      <c r="A14" s="9"/>
      <c r="B14" s="35" t="s">
        <v>182</v>
      </c>
      <c r="C14" s="35" t="s">
        <v>186</v>
      </c>
      <c r="D14" s="35" t="s">
        <v>185</v>
      </c>
      <c r="E14" s="36" t="s">
        <v>183</v>
      </c>
      <c r="F14" s="32">
        <f t="shared" si="0"/>
        <v>2400</v>
      </c>
      <c r="G14" s="37">
        <v>2400</v>
      </c>
      <c r="H14" s="37"/>
      <c r="I14" s="37"/>
      <c r="J14" s="37"/>
      <c r="K14" s="37">
        <f>L14+O14</f>
        <v>0</v>
      </c>
      <c r="L14" s="37"/>
      <c r="M14" s="37"/>
      <c r="N14" s="37"/>
      <c r="O14" s="37"/>
      <c r="P14" s="37"/>
      <c r="Q14" s="32">
        <f t="shared" si="1"/>
        <v>2400</v>
      </c>
      <c r="S14" s="61"/>
    </row>
    <row r="15" spans="1:19" s="18" customFormat="1" ht="30" hidden="1">
      <c r="A15" s="9"/>
      <c r="B15" s="35" t="s">
        <v>301</v>
      </c>
      <c r="C15" s="38">
        <v>8600</v>
      </c>
      <c r="D15" s="35" t="s">
        <v>206</v>
      </c>
      <c r="E15" s="36" t="s">
        <v>96</v>
      </c>
      <c r="F15" s="32">
        <f t="shared" si="0"/>
        <v>2200</v>
      </c>
      <c r="G15" s="37">
        <v>2200</v>
      </c>
      <c r="H15" s="37"/>
      <c r="I15" s="37"/>
      <c r="J15" s="37"/>
      <c r="K15" s="37">
        <f>L15+O15</f>
        <v>0</v>
      </c>
      <c r="L15" s="37"/>
      <c r="M15" s="37"/>
      <c r="N15" s="37"/>
      <c r="O15" s="37"/>
      <c r="P15" s="37"/>
      <c r="Q15" s="32">
        <f t="shared" si="1"/>
        <v>2200</v>
      </c>
      <c r="S15" s="61"/>
    </row>
    <row r="16" spans="1:20" s="19" customFormat="1" ht="30.75" customHeight="1">
      <c r="A16" s="14"/>
      <c r="B16" s="31" t="s">
        <v>202</v>
      </c>
      <c r="C16" s="121" t="s">
        <v>308</v>
      </c>
      <c r="D16" s="122"/>
      <c r="E16" s="123"/>
      <c r="F16" s="62">
        <f t="shared" si="0"/>
        <v>15617.6</v>
      </c>
      <c r="G16" s="62">
        <f>G17</f>
        <v>15617.6</v>
      </c>
      <c r="H16" s="62">
        <v>0</v>
      </c>
      <c r="I16" s="62">
        <v>0</v>
      </c>
      <c r="J16" s="62">
        <v>0</v>
      </c>
      <c r="K16" s="62">
        <v>83365.93</v>
      </c>
      <c r="L16" s="62">
        <v>83365.93</v>
      </c>
      <c r="M16" s="62">
        <v>0</v>
      </c>
      <c r="N16" s="62">
        <v>0</v>
      </c>
      <c r="O16" s="62">
        <v>0</v>
      </c>
      <c r="P16" s="62">
        <v>0</v>
      </c>
      <c r="Q16" s="62">
        <v>98983.53</v>
      </c>
      <c r="S16" s="63">
        <f>S20+S24</f>
        <v>0</v>
      </c>
      <c r="T16" s="63"/>
    </row>
    <row r="17" spans="1:19" s="19" customFormat="1" ht="28.5" customHeight="1">
      <c r="A17" s="14"/>
      <c r="B17" s="33" t="s">
        <v>203</v>
      </c>
      <c r="C17" s="124" t="s">
        <v>308</v>
      </c>
      <c r="D17" s="125"/>
      <c r="E17" s="126"/>
      <c r="F17" s="81">
        <f t="shared" si="0"/>
        <v>15617.6</v>
      </c>
      <c r="G17" s="81">
        <f>G18+G25+G26</f>
        <v>15617.6</v>
      </c>
      <c r="H17" s="81">
        <f>H18+H25+H26</f>
        <v>0</v>
      </c>
      <c r="I17" s="81">
        <f>I18+I25+I26</f>
        <v>0</v>
      </c>
      <c r="J17" s="81">
        <f>J18+J25+J26</f>
        <v>0</v>
      </c>
      <c r="K17" s="81">
        <v>63706.32613000001</v>
      </c>
      <c r="L17" s="81">
        <v>63706.32613000001</v>
      </c>
      <c r="M17" s="81">
        <v>0</v>
      </c>
      <c r="N17" s="81">
        <v>0</v>
      </c>
      <c r="O17" s="81">
        <v>0</v>
      </c>
      <c r="P17" s="81">
        <v>0</v>
      </c>
      <c r="Q17" s="81">
        <v>79323.92613</v>
      </c>
      <c r="S17" s="61"/>
    </row>
    <row r="18" spans="2:19" ht="15" hidden="1">
      <c r="B18" s="31" t="s">
        <v>207</v>
      </c>
      <c r="C18" s="38">
        <v>7400</v>
      </c>
      <c r="D18" s="121" t="s">
        <v>208</v>
      </c>
      <c r="E18" s="123"/>
      <c r="F18" s="62">
        <f t="shared" si="0"/>
        <v>3745</v>
      </c>
      <c r="G18" s="93">
        <f>G19+G20</f>
        <v>3745</v>
      </c>
      <c r="H18" s="93">
        <f>H19+H20</f>
        <v>0</v>
      </c>
      <c r="I18" s="93">
        <f>I19+I20</f>
        <v>0</v>
      </c>
      <c r="J18" s="93">
        <f>J19+J20</f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62">
        <v>3745</v>
      </c>
      <c r="S18" s="61"/>
    </row>
    <row r="19" spans="2:19" ht="30" hidden="1">
      <c r="B19" s="39" t="s">
        <v>187</v>
      </c>
      <c r="C19" s="38">
        <v>7450</v>
      </c>
      <c r="D19" s="35" t="s">
        <v>204</v>
      </c>
      <c r="E19" s="77" t="s">
        <v>188</v>
      </c>
      <c r="F19" s="32">
        <f t="shared" si="0"/>
        <v>2000</v>
      </c>
      <c r="G19" s="37">
        <v>2000</v>
      </c>
      <c r="H19" s="37"/>
      <c r="I19" s="37"/>
      <c r="J19" s="37"/>
      <c r="K19" s="37">
        <v>0</v>
      </c>
      <c r="L19" s="37"/>
      <c r="M19" s="37"/>
      <c r="N19" s="37"/>
      <c r="O19" s="37"/>
      <c r="P19" s="37"/>
      <c r="Q19" s="32">
        <v>2000</v>
      </c>
      <c r="S19" s="61"/>
    </row>
    <row r="20" spans="2:19" ht="30" hidden="1">
      <c r="B20" s="38" t="s">
        <v>189</v>
      </c>
      <c r="C20" s="38">
        <v>7420</v>
      </c>
      <c r="D20" s="35" t="s">
        <v>205</v>
      </c>
      <c r="E20" s="50" t="s">
        <v>337</v>
      </c>
      <c r="F20" s="32">
        <f t="shared" si="0"/>
        <v>1745</v>
      </c>
      <c r="G20" s="37">
        <f>1825-80</f>
        <v>1745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2">
        <v>1745</v>
      </c>
      <c r="S20" s="61"/>
    </row>
    <row r="21" spans="2:19" ht="24" hidden="1">
      <c r="B21" s="40" t="s">
        <v>190</v>
      </c>
      <c r="C21" s="40">
        <v>7421</v>
      </c>
      <c r="D21" s="41" t="s">
        <v>205</v>
      </c>
      <c r="E21" s="42" t="s">
        <v>191</v>
      </c>
      <c r="F21" s="43">
        <f t="shared" si="0"/>
        <v>400</v>
      </c>
      <c r="G21" s="44">
        <v>400</v>
      </c>
      <c r="H21" s="44"/>
      <c r="I21" s="44"/>
      <c r="J21" s="44"/>
      <c r="K21" s="44">
        <v>0</v>
      </c>
      <c r="L21" s="44"/>
      <c r="M21" s="44"/>
      <c r="N21" s="44"/>
      <c r="O21" s="44"/>
      <c r="P21" s="44"/>
      <c r="Q21" s="43">
        <v>400</v>
      </c>
      <c r="S21" s="61"/>
    </row>
    <row r="22" spans="2:19" ht="24" hidden="1">
      <c r="B22" s="40" t="s">
        <v>192</v>
      </c>
      <c r="C22" s="40">
        <v>7422</v>
      </c>
      <c r="D22" s="41" t="s">
        <v>205</v>
      </c>
      <c r="E22" s="42" t="s">
        <v>191</v>
      </c>
      <c r="F22" s="43">
        <f t="shared" si="0"/>
        <v>640</v>
      </c>
      <c r="G22" s="44">
        <f>720-80</f>
        <v>640</v>
      </c>
      <c r="H22" s="44"/>
      <c r="I22" s="44"/>
      <c r="J22" s="44"/>
      <c r="K22" s="44">
        <v>0</v>
      </c>
      <c r="L22" s="44"/>
      <c r="M22" s="44"/>
      <c r="N22" s="44"/>
      <c r="O22" s="44"/>
      <c r="P22" s="44"/>
      <c r="Q22" s="43">
        <v>640</v>
      </c>
      <c r="S22" s="61"/>
    </row>
    <row r="23" spans="2:19" ht="41.25" customHeight="1" hidden="1">
      <c r="B23" s="40" t="s">
        <v>193</v>
      </c>
      <c r="C23" s="40">
        <v>7423</v>
      </c>
      <c r="D23" s="41" t="s">
        <v>205</v>
      </c>
      <c r="E23" s="42" t="s">
        <v>194</v>
      </c>
      <c r="F23" s="43">
        <f t="shared" si="0"/>
        <v>705</v>
      </c>
      <c r="G23" s="44">
        <v>705</v>
      </c>
      <c r="H23" s="44"/>
      <c r="I23" s="44"/>
      <c r="J23" s="44"/>
      <c r="K23" s="44">
        <v>0</v>
      </c>
      <c r="L23" s="44"/>
      <c r="M23" s="44"/>
      <c r="N23" s="44"/>
      <c r="O23" s="44"/>
      <c r="P23" s="44"/>
      <c r="Q23" s="43">
        <v>705</v>
      </c>
      <c r="S23" s="61"/>
    </row>
    <row r="24" spans="2:19" ht="29.25" customHeight="1" hidden="1">
      <c r="B24" s="38" t="s">
        <v>382</v>
      </c>
      <c r="C24" s="38">
        <v>7500</v>
      </c>
      <c r="D24" s="35" t="s">
        <v>381</v>
      </c>
      <c r="E24" s="50" t="s">
        <v>183</v>
      </c>
      <c r="F24" s="32">
        <f t="shared" si="0"/>
        <v>80</v>
      </c>
      <c r="G24" s="37">
        <v>80</v>
      </c>
      <c r="H24" s="37"/>
      <c r="I24" s="37"/>
      <c r="J24" s="37"/>
      <c r="K24" s="37"/>
      <c r="L24" s="37"/>
      <c r="M24" s="37"/>
      <c r="N24" s="37"/>
      <c r="O24" s="37"/>
      <c r="P24" s="37"/>
      <c r="Q24" s="32">
        <v>80</v>
      </c>
      <c r="S24" s="61"/>
    </row>
    <row r="25" spans="2:20" ht="30">
      <c r="B25" s="38" t="s">
        <v>195</v>
      </c>
      <c r="C25" s="38">
        <v>7700</v>
      </c>
      <c r="D25" s="35" t="s">
        <v>352</v>
      </c>
      <c r="E25" s="36" t="s">
        <v>196</v>
      </c>
      <c r="F25" s="32">
        <f t="shared" si="0"/>
        <v>0</v>
      </c>
      <c r="G25" s="32"/>
      <c r="H25" s="32"/>
      <c r="I25" s="32"/>
      <c r="J25" s="32"/>
      <c r="K25" s="87">
        <v>56206.32613000001</v>
      </c>
      <c r="L25" s="106">
        <v>56206.32613000001</v>
      </c>
      <c r="M25" s="32"/>
      <c r="N25" s="32"/>
      <c r="O25" s="32"/>
      <c r="P25" s="32"/>
      <c r="Q25" s="87">
        <v>56206.32613000001</v>
      </c>
      <c r="S25" s="61"/>
      <c r="T25" s="61"/>
    </row>
    <row r="26" spans="2:19" ht="30" hidden="1">
      <c r="B26" s="39" t="s">
        <v>197</v>
      </c>
      <c r="C26" s="38">
        <v>8600</v>
      </c>
      <c r="D26" s="35" t="s">
        <v>206</v>
      </c>
      <c r="E26" s="36" t="s">
        <v>96</v>
      </c>
      <c r="F26" s="32">
        <f t="shared" si="0"/>
        <v>11872.6</v>
      </c>
      <c r="G26" s="37">
        <v>11872.6</v>
      </c>
      <c r="H26" s="32">
        <v>0</v>
      </c>
      <c r="I26" s="32">
        <v>0</v>
      </c>
      <c r="J26" s="32">
        <v>0</v>
      </c>
      <c r="K26" s="32">
        <v>7500</v>
      </c>
      <c r="L26" s="37">
        <v>7500</v>
      </c>
      <c r="M26" s="32">
        <v>0</v>
      </c>
      <c r="N26" s="32">
        <v>0</v>
      </c>
      <c r="O26" s="32">
        <v>0</v>
      </c>
      <c r="P26" s="32">
        <v>0</v>
      </c>
      <c r="Q26" s="32">
        <v>19372.6</v>
      </c>
      <c r="S26" s="61"/>
    </row>
    <row r="27" spans="2:19" ht="24" hidden="1">
      <c r="B27" s="45" t="s">
        <v>198</v>
      </c>
      <c r="C27" s="40">
        <v>8601</v>
      </c>
      <c r="D27" s="41" t="s">
        <v>206</v>
      </c>
      <c r="E27" s="42" t="s">
        <v>199</v>
      </c>
      <c r="F27" s="43">
        <f t="shared" si="0"/>
        <v>7500</v>
      </c>
      <c r="G27" s="44">
        <v>7500</v>
      </c>
      <c r="H27" s="43"/>
      <c r="I27" s="43"/>
      <c r="J27" s="43"/>
      <c r="K27" s="43">
        <v>7500</v>
      </c>
      <c r="L27" s="44">
        <v>7500</v>
      </c>
      <c r="M27" s="43"/>
      <c r="N27" s="43"/>
      <c r="O27" s="43"/>
      <c r="P27" s="43"/>
      <c r="Q27" s="43">
        <v>15000</v>
      </c>
      <c r="S27" s="61"/>
    </row>
    <row r="28" spans="2:19" ht="36" hidden="1">
      <c r="B28" s="45" t="s">
        <v>200</v>
      </c>
      <c r="C28" s="40">
        <v>8602</v>
      </c>
      <c r="D28" s="41" t="s">
        <v>206</v>
      </c>
      <c r="E28" s="42" t="s">
        <v>201</v>
      </c>
      <c r="F28" s="43">
        <f t="shared" si="0"/>
        <v>4372.6</v>
      </c>
      <c r="G28" s="44">
        <v>4372.6</v>
      </c>
      <c r="H28" s="43"/>
      <c r="I28" s="43"/>
      <c r="J28" s="43"/>
      <c r="K28" s="43">
        <v>0</v>
      </c>
      <c r="L28" s="43"/>
      <c r="M28" s="43"/>
      <c r="N28" s="43"/>
      <c r="O28" s="43"/>
      <c r="P28" s="43"/>
      <c r="Q28" s="43">
        <v>4372.6</v>
      </c>
      <c r="S28" s="61"/>
    </row>
    <row r="29" spans="1:19" s="19" customFormat="1" ht="15.75" hidden="1">
      <c r="A29" s="14"/>
      <c r="B29" s="39">
        <v>1000000</v>
      </c>
      <c r="C29" s="121" t="s">
        <v>278</v>
      </c>
      <c r="D29" s="122"/>
      <c r="E29" s="123"/>
      <c r="F29" s="62">
        <f aca="true" t="shared" si="2" ref="F29:F48">G29+J29</f>
        <v>546265.7440000001</v>
      </c>
      <c r="G29" s="62">
        <f>G30</f>
        <v>546265.7440000001</v>
      </c>
      <c r="H29" s="62">
        <f>H30</f>
        <v>323692.10000000003</v>
      </c>
      <c r="I29" s="62">
        <f>I30</f>
        <v>41613.90000000001</v>
      </c>
      <c r="J29" s="62">
        <f>J30</f>
        <v>0</v>
      </c>
      <c r="K29" s="62">
        <v>7584.4</v>
      </c>
      <c r="L29" s="62">
        <v>7084.4</v>
      </c>
      <c r="M29" s="62">
        <v>3250.3</v>
      </c>
      <c r="N29" s="62">
        <v>1350.4</v>
      </c>
      <c r="O29" s="62">
        <v>500</v>
      </c>
      <c r="P29" s="62">
        <v>0</v>
      </c>
      <c r="Q29" s="62">
        <v>553850.1440000001</v>
      </c>
      <c r="S29" s="63">
        <f>S32+S38</f>
        <v>0</v>
      </c>
    </row>
    <row r="30" spans="1:19" s="19" customFormat="1" ht="15" hidden="1">
      <c r="A30" s="14"/>
      <c r="B30" s="46">
        <v>1010000</v>
      </c>
      <c r="C30" s="124" t="s">
        <v>278</v>
      </c>
      <c r="D30" s="125"/>
      <c r="E30" s="126"/>
      <c r="F30" s="81">
        <f t="shared" si="2"/>
        <v>546265.7440000001</v>
      </c>
      <c r="G30" s="81">
        <f>G31+G45+G47</f>
        <v>546265.7440000001</v>
      </c>
      <c r="H30" s="81">
        <f>H31+H45+H47</f>
        <v>323692.10000000003</v>
      </c>
      <c r="I30" s="81">
        <f>I31+I45+I47</f>
        <v>41613.90000000001</v>
      </c>
      <c r="J30" s="81">
        <f>J31+J45+J47</f>
        <v>0</v>
      </c>
      <c r="K30" s="81">
        <v>7584.4</v>
      </c>
      <c r="L30" s="81">
        <v>7084.4</v>
      </c>
      <c r="M30" s="81">
        <v>3250.3</v>
      </c>
      <c r="N30" s="81">
        <v>1350.4</v>
      </c>
      <c r="O30" s="81">
        <v>500</v>
      </c>
      <c r="P30" s="81">
        <v>0</v>
      </c>
      <c r="Q30" s="81">
        <v>553850.1440000001</v>
      </c>
      <c r="S30" s="61"/>
    </row>
    <row r="31" spans="1:19" s="19" customFormat="1" ht="14.25" hidden="1">
      <c r="A31" s="14"/>
      <c r="B31" s="39">
        <v>1011000</v>
      </c>
      <c r="C31" s="39">
        <v>1000</v>
      </c>
      <c r="D31" s="121" t="s">
        <v>21</v>
      </c>
      <c r="E31" s="123"/>
      <c r="F31" s="62">
        <f>F32+F33+F34+F35+F36+F37+F38+F39+F40+F41+F42</f>
        <v>542926.3</v>
      </c>
      <c r="G31" s="62">
        <f>G32+G33+G34+G35+G36+G37+G38+G39+G40+G41+G42</f>
        <v>542926.3</v>
      </c>
      <c r="H31" s="62">
        <f>H32+H33+H34+H35+H36+H37+H38+H39+H40+H41+H42</f>
        <v>322536.4</v>
      </c>
      <c r="I31" s="62">
        <f>I32+I33+I34+I35+I36+I37+I38+I39+I40+I41+I42</f>
        <v>41475.100000000006</v>
      </c>
      <c r="J31" s="62">
        <f>J32+J33+J34+J35+J36+J37+J38+J39+J40+J41+J42</f>
        <v>0</v>
      </c>
      <c r="K31" s="62">
        <v>7584.4</v>
      </c>
      <c r="L31" s="62">
        <v>7084.4</v>
      </c>
      <c r="M31" s="62">
        <v>3250.3</v>
      </c>
      <c r="N31" s="62">
        <v>1350.4</v>
      </c>
      <c r="O31" s="62">
        <v>500</v>
      </c>
      <c r="P31" s="62">
        <v>0</v>
      </c>
      <c r="Q31" s="62">
        <v>550510.7</v>
      </c>
      <c r="S31" s="61"/>
    </row>
    <row r="32" spans="1:19" s="18" customFormat="1" ht="60" hidden="1">
      <c r="A32" s="9"/>
      <c r="B32" s="38">
        <v>1011040</v>
      </c>
      <c r="C32" s="38">
        <v>1040</v>
      </c>
      <c r="D32" s="35" t="s">
        <v>171</v>
      </c>
      <c r="E32" s="36" t="s">
        <v>161</v>
      </c>
      <c r="F32" s="32">
        <f t="shared" si="2"/>
        <v>12282.7</v>
      </c>
      <c r="G32" s="37">
        <f>12275.6+7.1</f>
        <v>12282.7</v>
      </c>
      <c r="H32" s="37">
        <f>7116.8+7.1</f>
        <v>7123.900000000001</v>
      </c>
      <c r="I32" s="37">
        <v>689.3</v>
      </c>
      <c r="J32" s="37">
        <v>0</v>
      </c>
      <c r="K32" s="32">
        <v>0</v>
      </c>
      <c r="L32" s="37"/>
      <c r="M32" s="37"/>
      <c r="N32" s="37"/>
      <c r="O32" s="37"/>
      <c r="P32" s="37"/>
      <c r="Q32" s="32">
        <v>12282.7</v>
      </c>
      <c r="S32" s="61"/>
    </row>
    <row r="33" spans="1:19" s="18" customFormat="1" ht="60" hidden="1">
      <c r="A33" s="9"/>
      <c r="B33" s="38">
        <v>1011050</v>
      </c>
      <c r="C33" s="38">
        <v>1050</v>
      </c>
      <c r="D33" s="35" t="s">
        <v>172</v>
      </c>
      <c r="E33" s="36" t="s">
        <v>162</v>
      </c>
      <c r="F33" s="32">
        <f t="shared" si="2"/>
        <v>10765.1</v>
      </c>
      <c r="G33" s="37">
        <v>10765.1</v>
      </c>
      <c r="H33" s="37">
        <v>6096.5</v>
      </c>
      <c r="I33" s="37">
        <v>1057</v>
      </c>
      <c r="J33" s="37"/>
      <c r="K33" s="32">
        <v>0</v>
      </c>
      <c r="L33" s="37"/>
      <c r="M33" s="37"/>
      <c r="N33" s="37"/>
      <c r="O33" s="37"/>
      <c r="P33" s="37"/>
      <c r="Q33" s="32">
        <v>10765.1</v>
      </c>
      <c r="S33" s="61"/>
    </row>
    <row r="34" spans="1:19" s="18" customFormat="1" ht="90" hidden="1">
      <c r="A34" s="9"/>
      <c r="B34" s="38">
        <v>1011060</v>
      </c>
      <c r="C34" s="38">
        <v>1060</v>
      </c>
      <c r="D34" s="35" t="s">
        <v>173</v>
      </c>
      <c r="E34" s="36" t="s">
        <v>338</v>
      </c>
      <c r="F34" s="32">
        <f t="shared" si="2"/>
        <v>11687.2</v>
      </c>
      <c r="G34" s="37">
        <v>11687.2</v>
      </c>
      <c r="H34" s="37">
        <v>6660.4</v>
      </c>
      <c r="I34" s="37">
        <v>871.6</v>
      </c>
      <c r="J34" s="37">
        <v>0</v>
      </c>
      <c r="K34" s="32">
        <v>0</v>
      </c>
      <c r="L34" s="37"/>
      <c r="M34" s="37"/>
      <c r="N34" s="37"/>
      <c r="O34" s="37"/>
      <c r="P34" s="37"/>
      <c r="Q34" s="32">
        <v>11687.2</v>
      </c>
      <c r="S34" s="61"/>
    </row>
    <row r="35" spans="1:19" s="18" customFormat="1" ht="105" hidden="1">
      <c r="A35" s="9"/>
      <c r="B35" s="38">
        <v>1011070</v>
      </c>
      <c r="C35" s="38">
        <v>1070</v>
      </c>
      <c r="D35" s="35" t="s">
        <v>174</v>
      </c>
      <c r="E35" s="36" t="s">
        <v>163</v>
      </c>
      <c r="F35" s="32">
        <f t="shared" si="2"/>
        <v>167742.8</v>
      </c>
      <c r="G35" s="37">
        <v>167742.8</v>
      </c>
      <c r="H35" s="37">
        <v>107262.5</v>
      </c>
      <c r="I35" s="37">
        <v>10903.4</v>
      </c>
      <c r="J35" s="37">
        <v>0</v>
      </c>
      <c r="K35" s="32">
        <v>90.5</v>
      </c>
      <c r="L35" s="37">
        <v>90.5</v>
      </c>
      <c r="M35" s="37"/>
      <c r="N35" s="37">
        <v>0.8</v>
      </c>
      <c r="O35" s="37"/>
      <c r="P35" s="37"/>
      <c r="Q35" s="32">
        <v>167833.3</v>
      </c>
      <c r="S35" s="61"/>
    </row>
    <row r="36" spans="1:19" s="18" customFormat="1" ht="135" hidden="1">
      <c r="A36" s="9"/>
      <c r="B36" s="38">
        <v>1011080</v>
      </c>
      <c r="C36" s="38">
        <v>1080</v>
      </c>
      <c r="D36" s="35" t="s">
        <v>175</v>
      </c>
      <c r="E36" s="36" t="s">
        <v>339</v>
      </c>
      <c r="F36" s="32">
        <f t="shared" si="2"/>
        <v>18076.8</v>
      </c>
      <c r="G36" s="37">
        <v>18076.8</v>
      </c>
      <c r="H36" s="37">
        <v>10142.8</v>
      </c>
      <c r="I36" s="37">
        <v>1468</v>
      </c>
      <c r="J36" s="37">
        <v>0</v>
      </c>
      <c r="K36" s="32">
        <v>0</v>
      </c>
      <c r="L36" s="37"/>
      <c r="M36" s="37"/>
      <c r="N36" s="37"/>
      <c r="O36" s="37"/>
      <c r="P36" s="37"/>
      <c r="Q36" s="32">
        <v>18076.8</v>
      </c>
      <c r="S36" s="61"/>
    </row>
    <row r="37" spans="1:19" s="18" customFormat="1" ht="52.5" customHeight="1" hidden="1">
      <c r="A37" s="9"/>
      <c r="B37" s="38">
        <v>1011090</v>
      </c>
      <c r="C37" s="38">
        <v>1090</v>
      </c>
      <c r="D37" s="35" t="s">
        <v>176</v>
      </c>
      <c r="E37" s="36" t="s">
        <v>164</v>
      </c>
      <c r="F37" s="32">
        <f t="shared" si="2"/>
        <v>13756.4</v>
      </c>
      <c r="G37" s="37">
        <v>13756.4</v>
      </c>
      <c r="H37" s="37">
        <v>9561.6</v>
      </c>
      <c r="I37" s="37">
        <v>913.7</v>
      </c>
      <c r="J37" s="37"/>
      <c r="K37" s="32">
        <v>48.4</v>
      </c>
      <c r="L37" s="37">
        <v>48.4</v>
      </c>
      <c r="M37" s="37"/>
      <c r="N37" s="37">
        <v>8</v>
      </c>
      <c r="O37" s="37"/>
      <c r="P37" s="37"/>
      <c r="Q37" s="32">
        <v>13804.8</v>
      </c>
      <c r="S37" s="61"/>
    </row>
    <row r="38" spans="1:19" s="18" customFormat="1" ht="46.5" customHeight="1" hidden="1">
      <c r="A38" s="9"/>
      <c r="B38" s="38">
        <v>1011100</v>
      </c>
      <c r="C38" s="38">
        <v>1100</v>
      </c>
      <c r="D38" s="35" t="s">
        <v>177</v>
      </c>
      <c r="E38" s="36" t="s">
        <v>335</v>
      </c>
      <c r="F38" s="32">
        <f t="shared" si="2"/>
        <v>226796.7</v>
      </c>
      <c r="G38" s="37">
        <f>227982.6-1600+414.1</f>
        <v>226796.7</v>
      </c>
      <c r="H38" s="37">
        <v>131726.2</v>
      </c>
      <c r="I38" s="37">
        <v>21559.3</v>
      </c>
      <c r="J38" s="37">
        <v>0</v>
      </c>
      <c r="K38" s="32">
        <v>0</v>
      </c>
      <c r="L38" s="37"/>
      <c r="M38" s="37"/>
      <c r="N38" s="37"/>
      <c r="O38" s="37"/>
      <c r="P38" s="37"/>
      <c r="Q38" s="32">
        <v>226796.7</v>
      </c>
      <c r="S38" s="61"/>
    </row>
    <row r="39" spans="1:19" s="18" customFormat="1" ht="45" hidden="1">
      <c r="A39" s="9"/>
      <c r="B39" s="38">
        <v>1011120</v>
      </c>
      <c r="C39" s="38">
        <v>1120</v>
      </c>
      <c r="D39" s="35" t="s">
        <v>61</v>
      </c>
      <c r="E39" s="36" t="s">
        <v>165</v>
      </c>
      <c r="F39" s="32">
        <f t="shared" si="2"/>
        <v>61290.8</v>
      </c>
      <c r="G39" s="37">
        <v>61290.8</v>
      </c>
      <c r="H39" s="37">
        <v>30876.7</v>
      </c>
      <c r="I39" s="37">
        <v>3100.2</v>
      </c>
      <c r="J39" s="37"/>
      <c r="K39" s="32">
        <v>5032.7</v>
      </c>
      <c r="L39" s="37">
        <v>4532.7</v>
      </c>
      <c r="M39" s="37">
        <v>2088.3</v>
      </c>
      <c r="N39" s="37">
        <v>648.2</v>
      </c>
      <c r="O39" s="37">
        <v>500</v>
      </c>
      <c r="P39" s="37"/>
      <c r="Q39" s="32">
        <v>66323.5</v>
      </c>
      <c r="S39" s="61"/>
    </row>
    <row r="40" spans="1:19" s="18" customFormat="1" ht="75" hidden="1">
      <c r="A40" s="9"/>
      <c r="B40" s="38">
        <v>1011140</v>
      </c>
      <c r="C40" s="38">
        <v>1140</v>
      </c>
      <c r="D40" s="35" t="s">
        <v>62</v>
      </c>
      <c r="E40" s="36" t="s">
        <v>166</v>
      </c>
      <c r="F40" s="32">
        <f t="shared" si="2"/>
        <v>12085.6</v>
      </c>
      <c r="G40" s="37">
        <v>12085.6</v>
      </c>
      <c r="H40" s="37">
        <v>8769.7</v>
      </c>
      <c r="I40" s="37">
        <v>761.3</v>
      </c>
      <c r="J40" s="37"/>
      <c r="K40" s="32">
        <v>2408.8</v>
      </c>
      <c r="L40" s="37">
        <v>2408.8</v>
      </c>
      <c r="M40" s="37">
        <v>1162</v>
      </c>
      <c r="N40" s="37">
        <v>693.4</v>
      </c>
      <c r="O40" s="37"/>
      <c r="P40" s="37"/>
      <c r="Q40" s="32">
        <v>14494.4</v>
      </c>
      <c r="S40" s="61"/>
    </row>
    <row r="41" spans="1:19" s="18" customFormat="1" ht="30" hidden="1">
      <c r="A41" s="9"/>
      <c r="B41" s="38">
        <v>1011210</v>
      </c>
      <c r="C41" s="38">
        <v>1210</v>
      </c>
      <c r="D41" s="35" t="s">
        <v>178</v>
      </c>
      <c r="E41" s="36" t="s">
        <v>307</v>
      </c>
      <c r="F41" s="32">
        <f t="shared" si="2"/>
        <v>5430.4</v>
      </c>
      <c r="G41" s="37">
        <v>5430.4</v>
      </c>
      <c r="H41" s="37">
        <v>3829.6</v>
      </c>
      <c r="I41" s="37">
        <v>151.3</v>
      </c>
      <c r="J41" s="37"/>
      <c r="K41" s="32">
        <v>4</v>
      </c>
      <c r="L41" s="37">
        <v>4</v>
      </c>
      <c r="M41" s="37"/>
      <c r="N41" s="37"/>
      <c r="O41" s="37"/>
      <c r="P41" s="37"/>
      <c r="Q41" s="32">
        <v>5434.4</v>
      </c>
      <c r="S41" s="61"/>
    </row>
    <row r="42" spans="1:19" s="18" customFormat="1" ht="30" hidden="1">
      <c r="A42" s="9"/>
      <c r="B42" s="38">
        <v>1011220</v>
      </c>
      <c r="C42" s="38">
        <v>1220</v>
      </c>
      <c r="D42" s="35" t="s">
        <v>179</v>
      </c>
      <c r="E42" s="36" t="s">
        <v>167</v>
      </c>
      <c r="F42" s="32">
        <f t="shared" si="2"/>
        <v>3011.8</v>
      </c>
      <c r="G42" s="37">
        <v>3011.8</v>
      </c>
      <c r="H42" s="37">
        <v>486.5</v>
      </c>
      <c r="I42" s="37">
        <v>0</v>
      </c>
      <c r="J42" s="37"/>
      <c r="K42" s="32">
        <v>0</v>
      </c>
      <c r="L42" s="37"/>
      <c r="M42" s="37"/>
      <c r="N42" s="37"/>
      <c r="O42" s="37"/>
      <c r="P42" s="37"/>
      <c r="Q42" s="32">
        <v>3011.8</v>
      </c>
      <c r="S42" s="61"/>
    </row>
    <row r="43" spans="1:19" s="20" customFormat="1" ht="24" hidden="1">
      <c r="A43" s="47"/>
      <c r="B43" s="46"/>
      <c r="C43" s="48"/>
      <c r="D43" s="49"/>
      <c r="E43" s="42" t="s">
        <v>168</v>
      </c>
      <c r="F43" s="43">
        <f t="shared" si="2"/>
        <v>2531.8</v>
      </c>
      <c r="G43" s="44">
        <v>2531.8</v>
      </c>
      <c r="H43" s="44">
        <v>486.5</v>
      </c>
      <c r="I43" s="43"/>
      <c r="J43" s="43"/>
      <c r="K43" s="43">
        <v>0</v>
      </c>
      <c r="L43" s="43"/>
      <c r="M43" s="43"/>
      <c r="N43" s="43"/>
      <c r="O43" s="43"/>
      <c r="P43" s="43"/>
      <c r="Q43" s="43">
        <v>2531.8</v>
      </c>
      <c r="S43" s="61"/>
    </row>
    <row r="44" spans="1:19" s="20" customFormat="1" ht="36" hidden="1">
      <c r="A44" s="47"/>
      <c r="B44" s="46"/>
      <c r="C44" s="48"/>
      <c r="D44" s="49"/>
      <c r="E44" s="42" t="s">
        <v>169</v>
      </c>
      <c r="F44" s="43">
        <f t="shared" si="2"/>
        <v>480</v>
      </c>
      <c r="G44" s="44">
        <v>480</v>
      </c>
      <c r="H44" s="44"/>
      <c r="I44" s="43"/>
      <c r="J44" s="43"/>
      <c r="K44" s="43">
        <v>0</v>
      </c>
      <c r="L44" s="43"/>
      <c r="M44" s="43"/>
      <c r="N44" s="43"/>
      <c r="O44" s="43"/>
      <c r="P44" s="43"/>
      <c r="Q44" s="43">
        <v>480</v>
      </c>
      <c r="S44" s="61"/>
    </row>
    <row r="45" spans="2:19" ht="15" customHeight="1" hidden="1">
      <c r="B45" s="39">
        <v>1013000</v>
      </c>
      <c r="C45" s="38">
        <v>3000</v>
      </c>
      <c r="D45" s="127" t="s">
        <v>81</v>
      </c>
      <c r="E45" s="128"/>
      <c r="F45" s="32">
        <f>G45</f>
        <v>1600</v>
      </c>
      <c r="G45" s="32">
        <f>G46</f>
        <v>1600</v>
      </c>
      <c r="H45" s="32"/>
      <c r="I45" s="32"/>
      <c r="J45" s="32"/>
      <c r="K45" s="32"/>
      <c r="L45" s="32"/>
      <c r="M45" s="32"/>
      <c r="N45" s="32"/>
      <c r="O45" s="32"/>
      <c r="P45" s="32"/>
      <c r="Q45" s="32">
        <v>1600</v>
      </c>
      <c r="S45" s="61"/>
    </row>
    <row r="46" spans="2:19" ht="90" hidden="1">
      <c r="B46" s="39">
        <v>1013160</v>
      </c>
      <c r="C46" s="38">
        <v>3160</v>
      </c>
      <c r="D46" s="35" t="s">
        <v>180</v>
      </c>
      <c r="E46" s="36" t="s">
        <v>306</v>
      </c>
      <c r="F46" s="32">
        <f t="shared" si="2"/>
        <v>1600</v>
      </c>
      <c r="G46" s="37">
        <v>1600</v>
      </c>
      <c r="H46" s="32"/>
      <c r="I46" s="32"/>
      <c r="J46" s="32"/>
      <c r="K46" s="32">
        <v>0</v>
      </c>
      <c r="L46" s="32"/>
      <c r="M46" s="32"/>
      <c r="N46" s="32"/>
      <c r="O46" s="32"/>
      <c r="P46" s="32"/>
      <c r="Q46" s="32">
        <v>1600</v>
      </c>
      <c r="S46" s="61"/>
    </row>
    <row r="47" spans="2:19" ht="15" hidden="1">
      <c r="B47" s="39">
        <v>1014000</v>
      </c>
      <c r="C47" s="38">
        <v>4000</v>
      </c>
      <c r="D47" s="127" t="s">
        <v>58</v>
      </c>
      <c r="E47" s="128"/>
      <c r="F47" s="32">
        <f>F48</f>
        <v>1739.444</v>
      </c>
      <c r="G47" s="32">
        <f>G48</f>
        <v>1739.444</v>
      </c>
      <c r="H47" s="32">
        <f>H48</f>
        <v>1155.7</v>
      </c>
      <c r="I47" s="32">
        <f>I48</f>
        <v>138.8</v>
      </c>
      <c r="J47" s="32">
        <f>J48</f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1739.444</v>
      </c>
      <c r="S47" s="61"/>
    </row>
    <row r="48" spans="2:19" ht="30" hidden="1">
      <c r="B48" s="39">
        <v>1014090</v>
      </c>
      <c r="C48" s="38">
        <v>4090</v>
      </c>
      <c r="D48" s="35" t="s">
        <v>181</v>
      </c>
      <c r="E48" s="36" t="s">
        <v>170</v>
      </c>
      <c r="F48" s="32">
        <f t="shared" si="2"/>
        <v>1739.444</v>
      </c>
      <c r="G48" s="37">
        <v>1739.444</v>
      </c>
      <c r="H48" s="37">
        <v>1155.7</v>
      </c>
      <c r="I48" s="37">
        <v>138.8</v>
      </c>
      <c r="J48" s="32"/>
      <c r="K48" s="32">
        <v>0</v>
      </c>
      <c r="L48" s="32"/>
      <c r="M48" s="32"/>
      <c r="N48" s="32"/>
      <c r="O48" s="32"/>
      <c r="P48" s="32"/>
      <c r="Q48" s="32">
        <v>1739.444</v>
      </c>
      <c r="S48" s="61"/>
    </row>
    <row r="49" spans="2:20" ht="15" customHeight="1" hidden="1">
      <c r="B49" s="39" t="s">
        <v>135</v>
      </c>
      <c r="C49" s="121" t="s">
        <v>159</v>
      </c>
      <c r="D49" s="122"/>
      <c r="E49" s="123"/>
      <c r="F49" s="62">
        <f>G49+J49</f>
        <v>47617.060000000005</v>
      </c>
      <c r="G49" s="62">
        <f aca="true" t="shared" si="3" ref="G49:J50">G50</f>
        <v>47617.060000000005</v>
      </c>
      <c r="H49" s="62">
        <f t="shared" si="3"/>
        <v>15431.199999999999</v>
      </c>
      <c r="I49" s="62">
        <f t="shared" si="3"/>
        <v>598.8</v>
      </c>
      <c r="J49" s="62">
        <f t="shared" si="3"/>
        <v>0</v>
      </c>
      <c r="K49" s="62">
        <v>2040</v>
      </c>
      <c r="L49" s="62">
        <v>0</v>
      </c>
      <c r="M49" s="62">
        <v>0</v>
      </c>
      <c r="N49" s="62">
        <v>0</v>
      </c>
      <c r="O49" s="62">
        <v>2040</v>
      </c>
      <c r="P49" s="62">
        <v>2040</v>
      </c>
      <c r="Q49" s="62">
        <v>49657.06</v>
      </c>
      <c r="S49" s="63">
        <f>S53+S54+S56+S57+S59+S60+S63+S68+S69+S70</f>
        <v>0</v>
      </c>
      <c r="T49" s="63"/>
    </row>
    <row r="50" spans="2:19" ht="15" hidden="1">
      <c r="B50" s="46" t="s">
        <v>136</v>
      </c>
      <c r="C50" s="124" t="s">
        <v>159</v>
      </c>
      <c r="D50" s="125"/>
      <c r="E50" s="126"/>
      <c r="F50" s="81">
        <f aca="true" t="shared" si="4" ref="F50:F70">G50+J50</f>
        <v>47617.060000000005</v>
      </c>
      <c r="G50" s="81">
        <f t="shared" si="3"/>
        <v>47617.060000000005</v>
      </c>
      <c r="H50" s="81">
        <f t="shared" si="3"/>
        <v>15431.199999999999</v>
      </c>
      <c r="I50" s="81">
        <f t="shared" si="3"/>
        <v>598.8</v>
      </c>
      <c r="J50" s="81">
        <f t="shared" si="3"/>
        <v>0</v>
      </c>
      <c r="K50" s="81">
        <v>2040</v>
      </c>
      <c r="L50" s="81">
        <v>0</v>
      </c>
      <c r="M50" s="81">
        <v>0</v>
      </c>
      <c r="N50" s="81">
        <v>0</v>
      </c>
      <c r="O50" s="81">
        <v>2040</v>
      </c>
      <c r="P50" s="81">
        <v>2040</v>
      </c>
      <c r="Q50" s="81">
        <v>49657.06</v>
      </c>
      <c r="S50" s="61"/>
    </row>
    <row r="51" spans="2:19" ht="14.25" customHeight="1" hidden="1">
      <c r="B51" s="39">
        <v>1315000</v>
      </c>
      <c r="C51" s="39">
        <v>5000</v>
      </c>
      <c r="D51" s="121" t="s">
        <v>160</v>
      </c>
      <c r="E51" s="123"/>
      <c r="F51" s="62">
        <f t="shared" si="4"/>
        <v>47617.060000000005</v>
      </c>
      <c r="G51" s="62">
        <f>G52+G55+G58+G62+G65+G67</f>
        <v>47617.060000000005</v>
      </c>
      <c r="H51" s="62">
        <f>H52+H55+H58+H62+H65+H67</f>
        <v>15431.199999999999</v>
      </c>
      <c r="I51" s="62">
        <f>I52+I55+I58+I62+I65+I67</f>
        <v>598.8</v>
      </c>
      <c r="J51" s="62">
        <f>J52+J55+J58+J62+J65+J67</f>
        <v>0</v>
      </c>
      <c r="K51" s="62">
        <v>2040</v>
      </c>
      <c r="L51" s="62">
        <v>0</v>
      </c>
      <c r="M51" s="62">
        <v>0</v>
      </c>
      <c r="N51" s="62">
        <v>0</v>
      </c>
      <c r="O51" s="62">
        <v>2040</v>
      </c>
      <c r="P51" s="62">
        <v>2040</v>
      </c>
      <c r="Q51" s="62">
        <v>49657.06</v>
      </c>
      <c r="S51" s="61"/>
    </row>
    <row r="52" spans="1:19" s="18" customFormat="1" ht="14.25" hidden="1">
      <c r="A52" s="9"/>
      <c r="B52" s="39">
        <v>1315010</v>
      </c>
      <c r="C52" s="39">
        <v>5010</v>
      </c>
      <c r="D52" s="121" t="s">
        <v>137</v>
      </c>
      <c r="E52" s="123"/>
      <c r="F52" s="62">
        <f t="shared" si="4"/>
        <v>3411.626</v>
      </c>
      <c r="G52" s="62">
        <f>G53+G54</f>
        <v>3411.626</v>
      </c>
      <c r="H52" s="32">
        <f>H53+H54</f>
        <v>0</v>
      </c>
      <c r="I52" s="32">
        <f>I53+I54</f>
        <v>0</v>
      </c>
      <c r="J52" s="32">
        <f>J53+J54</f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62">
        <v>3411.626</v>
      </c>
      <c r="S52" s="61"/>
    </row>
    <row r="53" spans="1:19" s="18" customFormat="1" ht="45" hidden="1">
      <c r="A53" s="9"/>
      <c r="B53" s="38">
        <v>1315011</v>
      </c>
      <c r="C53" s="38">
        <v>5011</v>
      </c>
      <c r="D53" s="35" t="s">
        <v>138</v>
      </c>
      <c r="E53" s="36" t="s">
        <v>139</v>
      </c>
      <c r="F53" s="32">
        <f t="shared" si="4"/>
        <v>2746.626</v>
      </c>
      <c r="G53" s="37">
        <f>3218.626-402-70</f>
        <v>2746.626</v>
      </c>
      <c r="H53" s="37"/>
      <c r="I53" s="37"/>
      <c r="J53" s="37"/>
      <c r="K53" s="37">
        <v>0</v>
      </c>
      <c r="L53" s="37"/>
      <c r="M53" s="37"/>
      <c r="N53" s="37"/>
      <c r="O53" s="37"/>
      <c r="P53" s="37"/>
      <c r="Q53" s="32">
        <v>2746.626</v>
      </c>
      <c r="S53" s="61"/>
    </row>
    <row r="54" spans="1:19" s="18" customFormat="1" ht="45" hidden="1">
      <c r="A54" s="9"/>
      <c r="B54" s="38">
        <v>1315012</v>
      </c>
      <c r="C54" s="38">
        <v>5012</v>
      </c>
      <c r="D54" s="35" t="s">
        <v>140</v>
      </c>
      <c r="E54" s="36" t="s">
        <v>141</v>
      </c>
      <c r="F54" s="32">
        <f t="shared" si="4"/>
        <v>665</v>
      </c>
      <c r="G54" s="37">
        <f>985-250-70</f>
        <v>665</v>
      </c>
      <c r="H54" s="37"/>
      <c r="I54" s="37"/>
      <c r="J54" s="37"/>
      <c r="K54" s="37">
        <v>0</v>
      </c>
      <c r="L54" s="37"/>
      <c r="M54" s="37"/>
      <c r="N54" s="37"/>
      <c r="O54" s="37"/>
      <c r="P54" s="37"/>
      <c r="Q54" s="32">
        <v>665</v>
      </c>
      <c r="S54" s="61"/>
    </row>
    <row r="55" spans="1:19" s="18" customFormat="1" ht="30.75" customHeight="1" hidden="1">
      <c r="A55" s="9"/>
      <c r="B55" s="39">
        <v>1315020</v>
      </c>
      <c r="C55" s="39">
        <v>5020</v>
      </c>
      <c r="D55" s="121" t="s">
        <v>340</v>
      </c>
      <c r="E55" s="123"/>
      <c r="F55" s="32">
        <f>G55</f>
        <v>2524.5</v>
      </c>
      <c r="G55" s="32">
        <f>G56+G57</f>
        <v>2524.5</v>
      </c>
      <c r="H55" s="32">
        <f>H56+H57</f>
        <v>1697.8</v>
      </c>
      <c r="I55" s="32">
        <f>I56+I57</f>
        <v>71.6</v>
      </c>
      <c r="J55" s="32"/>
      <c r="K55" s="32">
        <v>1000</v>
      </c>
      <c r="L55" s="32">
        <v>0</v>
      </c>
      <c r="M55" s="32">
        <v>0</v>
      </c>
      <c r="N55" s="32">
        <v>0</v>
      </c>
      <c r="O55" s="32">
        <v>1000</v>
      </c>
      <c r="P55" s="32">
        <v>1000</v>
      </c>
      <c r="Q55" s="32">
        <v>3524.5</v>
      </c>
      <c r="S55" s="61"/>
    </row>
    <row r="56" spans="1:19" s="18" customFormat="1" ht="41.25" customHeight="1" hidden="1">
      <c r="A56" s="9"/>
      <c r="B56" s="38">
        <v>1315021</v>
      </c>
      <c r="C56" s="38">
        <v>5021</v>
      </c>
      <c r="D56" s="35" t="s">
        <v>153</v>
      </c>
      <c r="E56" s="36" t="s">
        <v>154</v>
      </c>
      <c r="F56" s="32">
        <f t="shared" si="4"/>
        <v>2332.5</v>
      </c>
      <c r="G56" s="37">
        <f>2302.5+20+10</f>
        <v>2332.5</v>
      </c>
      <c r="H56" s="37">
        <v>1697.8</v>
      </c>
      <c r="I56" s="37">
        <v>71.6</v>
      </c>
      <c r="J56" s="37"/>
      <c r="K56" s="32">
        <v>1000</v>
      </c>
      <c r="L56" s="37"/>
      <c r="M56" s="37"/>
      <c r="N56" s="37"/>
      <c r="O56" s="37">
        <v>1000</v>
      </c>
      <c r="P56" s="37">
        <v>1000</v>
      </c>
      <c r="Q56" s="32">
        <v>3332.5</v>
      </c>
      <c r="S56" s="61"/>
    </row>
    <row r="57" spans="1:19" s="18" customFormat="1" ht="45" customHeight="1" hidden="1">
      <c r="A57" s="9"/>
      <c r="B57" s="38" t="s">
        <v>144</v>
      </c>
      <c r="C57" s="38">
        <v>5022</v>
      </c>
      <c r="D57" s="35" t="s">
        <v>155</v>
      </c>
      <c r="E57" s="36" t="s">
        <v>156</v>
      </c>
      <c r="F57" s="32">
        <f>G57+J57</f>
        <v>192</v>
      </c>
      <c r="G57" s="37">
        <f>150+42</f>
        <v>192</v>
      </c>
      <c r="H57" s="37"/>
      <c r="I57" s="37"/>
      <c r="J57" s="37"/>
      <c r="K57" s="37">
        <v>0</v>
      </c>
      <c r="L57" s="37"/>
      <c r="M57" s="37"/>
      <c r="N57" s="37"/>
      <c r="O57" s="37"/>
      <c r="P57" s="37"/>
      <c r="Q57" s="32">
        <v>192</v>
      </c>
      <c r="S57" s="61"/>
    </row>
    <row r="58" spans="1:19" s="18" customFormat="1" ht="38.25" customHeight="1" hidden="1">
      <c r="A58" s="9"/>
      <c r="B58" s="39">
        <v>1315030</v>
      </c>
      <c r="C58" s="39">
        <v>5030</v>
      </c>
      <c r="D58" s="121" t="s">
        <v>322</v>
      </c>
      <c r="E58" s="123"/>
      <c r="F58" s="32">
        <f>G58</f>
        <v>33855.8</v>
      </c>
      <c r="G58" s="32">
        <f>G59+G60+G61</f>
        <v>33855.8</v>
      </c>
      <c r="H58" s="32">
        <f>H59+H60+H61</f>
        <v>12969.3</v>
      </c>
      <c r="I58" s="32">
        <f>I59+I60+I61</f>
        <v>383.59999999999997</v>
      </c>
      <c r="J58" s="32"/>
      <c r="K58" s="32">
        <v>1040</v>
      </c>
      <c r="L58" s="32">
        <v>0</v>
      </c>
      <c r="M58" s="32">
        <v>0</v>
      </c>
      <c r="N58" s="32">
        <v>0</v>
      </c>
      <c r="O58" s="32">
        <v>1040</v>
      </c>
      <c r="P58" s="32">
        <v>1040</v>
      </c>
      <c r="Q58" s="32">
        <v>34895.8</v>
      </c>
      <c r="S58" s="61"/>
    </row>
    <row r="59" spans="1:20" s="18" customFormat="1" ht="45" customHeight="1" hidden="1">
      <c r="A59" s="9"/>
      <c r="B59" s="38">
        <v>1315031</v>
      </c>
      <c r="C59" s="38">
        <v>5031</v>
      </c>
      <c r="D59" s="35" t="s">
        <v>145</v>
      </c>
      <c r="E59" s="36" t="s">
        <v>146</v>
      </c>
      <c r="F59" s="32">
        <f>G59+J59</f>
        <v>15031.8</v>
      </c>
      <c r="G59" s="37">
        <f>14941.8+78.25+5+6.75</f>
        <v>15031.8</v>
      </c>
      <c r="H59" s="37">
        <v>10395.8</v>
      </c>
      <c r="I59" s="37">
        <v>326.9</v>
      </c>
      <c r="J59" s="37"/>
      <c r="K59" s="32">
        <v>1040</v>
      </c>
      <c r="L59" s="37"/>
      <c r="M59" s="37"/>
      <c r="N59" s="37"/>
      <c r="O59" s="37">
        <v>1040</v>
      </c>
      <c r="P59" s="37">
        <v>1040</v>
      </c>
      <c r="Q59" s="32">
        <v>16071.8</v>
      </c>
      <c r="S59" s="61"/>
      <c r="T59" s="61"/>
    </row>
    <row r="60" spans="1:19" s="18" customFormat="1" ht="44.25" customHeight="1" hidden="1">
      <c r="A60" s="9"/>
      <c r="B60" s="38">
        <v>1315032</v>
      </c>
      <c r="C60" s="38">
        <v>5032</v>
      </c>
      <c r="D60" s="35" t="s">
        <v>147</v>
      </c>
      <c r="E60" s="36" t="s">
        <v>148</v>
      </c>
      <c r="F60" s="32">
        <f>G60+J60</f>
        <v>12438</v>
      </c>
      <c r="G60" s="37">
        <f>12413+25</f>
        <v>12438</v>
      </c>
      <c r="H60" s="37"/>
      <c r="I60" s="37"/>
      <c r="J60" s="37"/>
      <c r="K60" s="37">
        <v>0</v>
      </c>
      <c r="L60" s="37"/>
      <c r="M60" s="37"/>
      <c r="N60" s="37"/>
      <c r="O60" s="37"/>
      <c r="P60" s="37"/>
      <c r="Q60" s="32">
        <v>12438</v>
      </c>
      <c r="S60" s="61"/>
    </row>
    <row r="61" spans="1:19" s="18" customFormat="1" ht="61.5" customHeight="1" hidden="1">
      <c r="A61" s="9"/>
      <c r="B61" s="38">
        <v>1315033</v>
      </c>
      <c r="C61" s="38">
        <v>5033</v>
      </c>
      <c r="D61" s="35" t="s">
        <v>142</v>
      </c>
      <c r="E61" s="36" t="s">
        <v>143</v>
      </c>
      <c r="F61" s="32">
        <f>G61+J61</f>
        <v>6386</v>
      </c>
      <c r="G61" s="37">
        <v>6386</v>
      </c>
      <c r="H61" s="37">
        <v>2573.5</v>
      </c>
      <c r="I61" s="37">
        <v>56.7</v>
      </c>
      <c r="J61" s="37"/>
      <c r="K61" s="37">
        <v>0</v>
      </c>
      <c r="L61" s="37"/>
      <c r="M61" s="37"/>
      <c r="N61" s="37"/>
      <c r="O61" s="37"/>
      <c r="P61" s="37"/>
      <c r="Q61" s="32">
        <v>6386</v>
      </c>
      <c r="S61" s="61"/>
    </row>
    <row r="62" spans="1:19" s="18" customFormat="1" ht="30" customHeight="1" hidden="1">
      <c r="A62" s="9"/>
      <c r="B62" s="39">
        <v>1315040</v>
      </c>
      <c r="C62" s="39">
        <v>5040</v>
      </c>
      <c r="D62" s="121" t="s">
        <v>323</v>
      </c>
      <c r="E62" s="123"/>
      <c r="F62" s="32">
        <f>G62</f>
        <v>1816.144</v>
      </c>
      <c r="G62" s="32">
        <f>G63+G64</f>
        <v>1816.144</v>
      </c>
      <c r="H62" s="32">
        <f>H63+H64</f>
        <v>378.5</v>
      </c>
      <c r="I62" s="32">
        <f>I63+I64</f>
        <v>132.6</v>
      </c>
      <c r="J62" s="32">
        <f>J63+J64</f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1816.144</v>
      </c>
      <c r="S62" s="61"/>
    </row>
    <row r="63" spans="1:19" s="18" customFormat="1" ht="30" hidden="1">
      <c r="A63" s="9"/>
      <c r="B63" s="38">
        <v>1315041</v>
      </c>
      <c r="C63" s="38">
        <v>5041</v>
      </c>
      <c r="D63" s="35" t="s">
        <v>149</v>
      </c>
      <c r="E63" s="36" t="s">
        <v>324</v>
      </c>
      <c r="F63" s="32">
        <f t="shared" si="4"/>
        <v>610.5</v>
      </c>
      <c r="G63" s="37">
        <f>600.5+10</f>
        <v>610.5</v>
      </c>
      <c r="H63" s="37">
        <v>378.5</v>
      </c>
      <c r="I63" s="37">
        <v>132.6</v>
      </c>
      <c r="J63" s="37"/>
      <c r="K63" s="32">
        <v>0</v>
      </c>
      <c r="L63" s="37"/>
      <c r="M63" s="37"/>
      <c r="N63" s="37"/>
      <c r="O63" s="37"/>
      <c r="P63" s="37"/>
      <c r="Q63" s="32">
        <v>610.5</v>
      </c>
      <c r="S63" s="61"/>
    </row>
    <row r="64" spans="1:19" s="18" customFormat="1" ht="74.25" customHeight="1" hidden="1">
      <c r="A64" s="9"/>
      <c r="B64" s="38">
        <v>1315042</v>
      </c>
      <c r="C64" s="38">
        <v>5042</v>
      </c>
      <c r="D64" s="35" t="s">
        <v>150</v>
      </c>
      <c r="E64" s="36" t="s">
        <v>151</v>
      </c>
      <c r="F64" s="32">
        <f t="shared" si="4"/>
        <v>1205.644</v>
      </c>
      <c r="G64" s="37">
        <v>1205.644</v>
      </c>
      <c r="H64" s="37"/>
      <c r="I64" s="37"/>
      <c r="J64" s="37"/>
      <c r="K64" s="37">
        <v>0</v>
      </c>
      <c r="L64" s="37"/>
      <c r="M64" s="37"/>
      <c r="N64" s="37"/>
      <c r="O64" s="37"/>
      <c r="P64" s="37"/>
      <c r="Q64" s="32">
        <v>1205.644</v>
      </c>
      <c r="S64" s="61"/>
    </row>
    <row r="65" spans="1:19" s="18" customFormat="1" ht="19.5" customHeight="1" hidden="1">
      <c r="A65" s="9"/>
      <c r="B65" s="39">
        <v>1315050</v>
      </c>
      <c r="C65" s="39">
        <v>5050</v>
      </c>
      <c r="D65" s="121" t="s">
        <v>325</v>
      </c>
      <c r="E65" s="123"/>
      <c r="F65" s="32">
        <f t="shared" si="4"/>
        <v>1972.99</v>
      </c>
      <c r="G65" s="32">
        <f>G66</f>
        <v>1972.99</v>
      </c>
      <c r="H65" s="32">
        <f>H66</f>
        <v>0</v>
      </c>
      <c r="I65" s="32">
        <f>I66</f>
        <v>0</v>
      </c>
      <c r="J65" s="32">
        <f>J66</f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1972.99</v>
      </c>
      <c r="S65" s="61"/>
    </row>
    <row r="66" spans="1:19" s="18" customFormat="1" ht="75" hidden="1">
      <c r="A66" s="9"/>
      <c r="B66" s="38">
        <v>1315053</v>
      </c>
      <c r="C66" s="38">
        <v>5053</v>
      </c>
      <c r="D66" s="35" t="s">
        <v>152</v>
      </c>
      <c r="E66" s="36" t="s">
        <v>326</v>
      </c>
      <c r="F66" s="32">
        <f t="shared" si="4"/>
        <v>1972.99</v>
      </c>
      <c r="G66" s="37">
        <f>1287.556+685.434</f>
        <v>1972.99</v>
      </c>
      <c r="H66" s="37"/>
      <c r="I66" s="37"/>
      <c r="J66" s="37"/>
      <c r="K66" s="37">
        <v>0</v>
      </c>
      <c r="L66" s="37"/>
      <c r="M66" s="37"/>
      <c r="N66" s="37"/>
      <c r="O66" s="37"/>
      <c r="P66" s="37"/>
      <c r="Q66" s="32">
        <v>1972.99</v>
      </c>
      <c r="S66" s="61"/>
    </row>
    <row r="67" spans="1:19" s="18" customFormat="1" ht="27.75" customHeight="1" hidden="1">
      <c r="A67" s="9"/>
      <c r="B67" s="39">
        <v>1315060</v>
      </c>
      <c r="C67" s="39">
        <v>5060</v>
      </c>
      <c r="D67" s="121" t="s">
        <v>327</v>
      </c>
      <c r="E67" s="123"/>
      <c r="F67" s="62">
        <f t="shared" si="4"/>
        <v>4036</v>
      </c>
      <c r="G67" s="62">
        <f>G69+G70</f>
        <v>4036</v>
      </c>
      <c r="H67" s="62">
        <f>H69+H70</f>
        <v>385.6</v>
      </c>
      <c r="I67" s="62">
        <f>I69+I70</f>
        <v>11</v>
      </c>
      <c r="J67" s="32">
        <f>J69+J70</f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62">
        <v>4036</v>
      </c>
      <c r="S67" s="61"/>
    </row>
    <row r="68" spans="1:19" s="18" customFormat="1" ht="75" customHeight="1" hidden="1">
      <c r="A68" s="9"/>
      <c r="B68" s="38">
        <v>1315051</v>
      </c>
      <c r="C68" s="38">
        <v>5051</v>
      </c>
      <c r="D68" s="38" t="s">
        <v>390</v>
      </c>
      <c r="E68" s="36" t="s">
        <v>391</v>
      </c>
      <c r="F68" s="32">
        <f t="shared" si="4"/>
        <v>275</v>
      </c>
      <c r="G68" s="82">
        <v>275</v>
      </c>
      <c r="H68" s="62"/>
      <c r="I68" s="62"/>
      <c r="J68" s="32"/>
      <c r="K68" s="32"/>
      <c r="L68" s="32"/>
      <c r="M68" s="32"/>
      <c r="N68" s="32"/>
      <c r="O68" s="32"/>
      <c r="P68" s="32"/>
      <c r="Q68" s="32">
        <v>275</v>
      </c>
      <c r="S68" s="61"/>
    </row>
    <row r="69" spans="1:19" s="18" customFormat="1" ht="75" hidden="1">
      <c r="A69" s="9"/>
      <c r="B69" s="38">
        <v>1315061</v>
      </c>
      <c r="C69" s="38">
        <v>5061</v>
      </c>
      <c r="D69" s="35" t="s">
        <v>157</v>
      </c>
      <c r="E69" s="36" t="s">
        <v>328</v>
      </c>
      <c r="F69" s="32">
        <f t="shared" si="4"/>
        <v>815</v>
      </c>
      <c r="G69" s="37">
        <f>745+60+29+65-84</f>
        <v>815</v>
      </c>
      <c r="H69" s="37">
        <f>431.1-84</f>
        <v>347.1</v>
      </c>
      <c r="I69" s="37">
        <v>11</v>
      </c>
      <c r="J69" s="37"/>
      <c r="K69" s="37">
        <v>0</v>
      </c>
      <c r="L69" s="37"/>
      <c r="M69" s="37"/>
      <c r="N69" s="37"/>
      <c r="O69" s="37"/>
      <c r="P69" s="37"/>
      <c r="Q69" s="32">
        <v>815</v>
      </c>
      <c r="S69" s="61"/>
    </row>
    <row r="70" spans="1:19" s="18" customFormat="1" ht="60" hidden="1">
      <c r="A70" s="9"/>
      <c r="B70" s="38">
        <v>1315062</v>
      </c>
      <c r="C70" s="38">
        <v>5062</v>
      </c>
      <c r="D70" s="35" t="s">
        <v>158</v>
      </c>
      <c r="E70" s="36" t="s">
        <v>329</v>
      </c>
      <c r="F70" s="32">
        <f t="shared" si="4"/>
        <v>3221</v>
      </c>
      <c r="G70" s="37">
        <f>3121+200-100</f>
        <v>3221</v>
      </c>
      <c r="H70" s="37">
        <v>38.5</v>
      </c>
      <c r="I70" s="37"/>
      <c r="J70" s="37"/>
      <c r="K70" s="37">
        <v>0</v>
      </c>
      <c r="L70" s="37"/>
      <c r="M70" s="37"/>
      <c r="N70" s="37"/>
      <c r="O70" s="37"/>
      <c r="P70" s="37"/>
      <c r="Q70" s="32">
        <v>3221</v>
      </c>
      <c r="S70" s="61"/>
    </row>
    <row r="71" spans="2:20" ht="15" customHeight="1">
      <c r="B71" s="39">
        <v>1400000</v>
      </c>
      <c r="C71" s="111" t="s">
        <v>19</v>
      </c>
      <c r="D71" s="112"/>
      <c r="E71" s="113"/>
      <c r="F71" s="62">
        <f>G71+J71</f>
        <v>1203859.6590000002</v>
      </c>
      <c r="G71" s="62">
        <f>G72</f>
        <v>1203859.6590000002</v>
      </c>
      <c r="H71" s="62">
        <f>H72</f>
        <v>34739.99984</v>
      </c>
      <c r="I71" s="62">
        <f>I72</f>
        <v>3523.03616</v>
      </c>
      <c r="J71" s="62">
        <f>J72</f>
        <v>0</v>
      </c>
      <c r="K71" s="62">
        <v>110834.21965000001</v>
      </c>
      <c r="L71" s="62">
        <v>36191.11965</v>
      </c>
      <c r="M71" s="62">
        <v>9581.9</v>
      </c>
      <c r="N71" s="62">
        <v>3293.39</v>
      </c>
      <c r="O71" s="62">
        <v>74643.1</v>
      </c>
      <c r="P71" s="62">
        <v>29031</v>
      </c>
      <c r="Q71" s="62">
        <v>1314693.8786500003</v>
      </c>
      <c r="S71" s="63">
        <f>S77+S78+S80+S81+S82+S83+S84+S86+S87+S90+S99+S100</f>
        <v>0</v>
      </c>
      <c r="T71" s="63"/>
    </row>
    <row r="72" spans="2:19" ht="15" customHeight="1">
      <c r="B72" s="46">
        <v>1410000</v>
      </c>
      <c r="C72" s="149" t="s">
        <v>19</v>
      </c>
      <c r="D72" s="150"/>
      <c r="E72" s="151"/>
      <c r="F72" s="81">
        <f>G72+J72</f>
        <v>1203859.6590000002</v>
      </c>
      <c r="G72" s="81">
        <f>G73+G76+G101</f>
        <v>1203859.6590000002</v>
      </c>
      <c r="H72" s="81">
        <f>H73+H76+H101</f>
        <v>34739.99984</v>
      </c>
      <c r="I72" s="81">
        <f>I73+I76+I101</f>
        <v>3523.03616</v>
      </c>
      <c r="J72" s="81">
        <f>J74+J75+J77+J78+J80+J81+J82+J83+J84+J85+J87+J88+J89+J99+J100+J102</f>
        <v>0</v>
      </c>
      <c r="K72" s="81">
        <v>110834.21965000001</v>
      </c>
      <c r="L72" s="81">
        <v>36191.11965</v>
      </c>
      <c r="M72" s="81">
        <v>9581.9</v>
      </c>
      <c r="N72" s="81">
        <v>3293.39</v>
      </c>
      <c r="O72" s="81">
        <v>74643.1</v>
      </c>
      <c r="P72" s="81">
        <v>29031</v>
      </c>
      <c r="Q72" s="81">
        <v>1314693.8786500003</v>
      </c>
      <c r="S72" s="61"/>
    </row>
    <row r="73" spans="2:19" ht="14.25" hidden="1">
      <c r="B73" s="39">
        <v>1411000</v>
      </c>
      <c r="C73" s="39">
        <v>1000</v>
      </c>
      <c r="D73" s="121" t="s">
        <v>21</v>
      </c>
      <c r="E73" s="123"/>
      <c r="F73" s="62">
        <f>G73+J73</f>
        <v>57307.86</v>
      </c>
      <c r="G73" s="62">
        <f>G74+G75</f>
        <v>57307.86</v>
      </c>
      <c r="H73" s="62">
        <f>H74+H75</f>
        <v>30071.76</v>
      </c>
      <c r="I73" s="62">
        <f>I74+I75</f>
        <v>2918.2000000000003</v>
      </c>
      <c r="J73" s="62">
        <f>J74+J75</f>
        <v>0</v>
      </c>
      <c r="K73" s="62">
        <v>15667.84</v>
      </c>
      <c r="L73" s="62">
        <v>15572.84</v>
      </c>
      <c r="M73" s="62">
        <v>9581.9</v>
      </c>
      <c r="N73" s="62">
        <v>3291.39</v>
      </c>
      <c r="O73" s="62">
        <v>95</v>
      </c>
      <c r="P73" s="62">
        <v>0</v>
      </c>
      <c r="Q73" s="62">
        <v>72975.7</v>
      </c>
      <c r="S73" s="61"/>
    </row>
    <row r="74" spans="1:19" s="18" customFormat="1" ht="45" hidden="1">
      <c r="A74" s="9"/>
      <c r="B74" s="38">
        <v>1411120</v>
      </c>
      <c r="C74" s="38" t="s">
        <v>22</v>
      </c>
      <c r="D74" s="35" t="s">
        <v>61</v>
      </c>
      <c r="E74" s="36" t="s">
        <v>23</v>
      </c>
      <c r="F74" s="56">
        <f>G74+J74</f>
        <v>55878.76</v>
      </c>
      <c r="G74" s="82">
        <v>55878.76</v>
      </c>
      <c r="H74" s="82">
        <v>28956.16</v>
      </c>
      <c r="I74" s="82">
        <v>2898.3</v>
      </c>
      <c r="J74" s="82">
        <v>0</v>
      </c>
      <c r="K74" s="82">
        <v>15217.84</v>
      </c>
      <c r="L74" s="82">
        <v>15122.84</v>
      </c>
      <c r="M74" s="82">
        <v>9260.9</v>
      </c>
      <c r="N74" s="82">
        <v>3271.39</v>
      </c>
      <c r="O74" s="82">
        <v>95</v>
      </c>
      <c r="P74" s="82">
        <v>0</v>
      </c>
      <c r="Q74" s="56">
        <v>71096.6</v>
      </c>
      <c r="S74" s="83"/>
    </row>
    <row r="75" spans="1:19" s="18" customFormat="1" ht="75" hidden="1">
      <c r="A75" s="9"/>
      <c r="B75" s="38">
        <v>1411140</v>
      </c>
      <c r="C75" s="38" t="s">
        <v>24</v>
      </c>
      <c r="D75" s="35" t="s">
        <v>62</v>
      </c>
      <c r="E75" s="36" t="s">
        <v>25</v>
      </c>
      <c r="F75" s="56">
        <f aca="true" t="shared" si="5" ref="F75:F147">G75+J75</f>
        <v>1429.1</v>
      </c>
      <c r="G75" s="82">
        <v>1429.1</v>
      </c>
      <c r="H75" s="82">
        <v>1115.6</v>
      </c>
      <c r="I75" s="82">
        <v>19.9</v>
      </c>
      <c r="J75" s="82">
        <v>0</v>
      </c>
      <c r="K75" s="82">
        <v>450</v>
      </c>
      <c r="L75" s="82">
        <v>450</v>
      </c>
      <c r="M75" s="82">
        <v>321</v>
      </c>
      <c r="N75" s="82">
        <v>20</v>
      </c>
      <c r="O75" s="82">
        <v>0</v>
      </c>
      <c r="P75" s="82">
        <v>0</v>
      </c>
      <c r="Q75" s="56">
        <v>1879.1</v>
      </c>
      <c r="S75" s="83"/>
    </row>
    <row r="76" spans="1:19" s="19" customFormat="1" ht="14.25" hidden="1">
      <c r="A76" s="14"/>
      <c r="B76" s="39">
        <v>1412000</v>
      </c>
      <c r="C76" s="39">
        <v>2000</v>
      </c>
      <c r="D76" s="31"/>
      <c r="E76" s="77" t="s">
        <v>26</v>
      </c>
      <c r="F76" s="62">
        <f t="shared" si="5"/>
        <v>1143922.3990000002</v>
      </c>
      <c r="G76" s="62">
        <f>G77+G78+G80+G81+G82+G83+G84+G85+G87+G88+G89+G99+G100+G90+G86</f>
        <v>1143922.3990000002</v>
      </c>
      <c r="H76" s="62">
        <f>H77+H78+H80+H81+H82+H83+H84+H85+H87+H88+H89+H99+H100+H90+H86</f>
        <v>2903.13984</v>
      </c>
      <c r="I76" s="62">
        <f>I77+I78+I80+I81+I82+I83+I84+I85+I87+I88+I89+I99+I100+I90+I86</f>
        <v>433.33616</v>
      </c>
      <c r="J76" s="62">
        <f>J77+J78+J80+J81+J82+J83+J84+J85+J87+J88+J89+J99+J100</f>
        <v>0</v>
      </c>
      <c r="K76" s="62">
        <v>95156.37965</v>
      </c>
      <c r="L76" s="62">
        <v>20608.27965</v>
      </c>
      <c r="M76" s="62">
        <v>0</v>
      </c>
      <c r="N76" s="62">
        <v>0</v>
      </c>
      <c r="O76" s="62">
        <v>74548.1</v>
      </c>
      <c r="P76" s="62">
        <v>29031</v>
      </c>
      <c r="Q76" s="62">
        <v>1239078.7786500002</v>
      </c>
      <c r="S76" s="61"/>
    </row>
    <row r="77" spans="1:20" s="18" customFormat="1" ht="30" hidden="1">
      <c r="A77" s="9"/>
      <c r="B77" s="38">
        <v>1412010</v>
      </c>
      <c r="C77" s="38" t="s">
        <v>27</v>
      </c>
      <c r="D77" s="35" t="s">
        <v>63</v>
      </c>
      <c r="E77" s="36" t="s">
        <v>341</v>
      </c>
      <c r="F77" s="32">
        <f t="shared" si="5"/>
        <v>205646.4</v>
      </c>
      <c r="G77" s="37">
        <f>213308.6+180-5083.2-2759</f>
        <v>205646.4</v>
      </c>
      <c r="H77" s="37">
        <f>133516.6-133516.6</f>
        <v>0</v>
      </c>
      <c r="I77" s="37">
        <f>22463.6-22463.6</f>
        <v>0</v>
      </c>
      <c r="J77" s="37">
        <v>0</v>
      </c>
      <c r="K77" s="32">
        <v>5404</v>
      </c>
      <c r="L77" s="37"/>
      <c r="M77" s="37">
        <v>0</v>
      </c>
      <c r="N77" s="37">
        <v>0</v>
      </c>
      <c r="O77" s="37">
        <v>5404</v>
      </c>
      <c r="P77" s="37">
        <v>5404</v>
      </c>
      <c r="Q77" s="32">
        <v>211050.4</v>
      </c>
      <c r="S77" s="61"/>
      <c r="T77" s="61"/>
    </row>
    <row r="78" spans="1:19" s="18" customFormat="1" ht="30" hidden="1">
      <c r="A78" s="9"/>
      <c r="B78" s="38">
        <v>1412030</v>
      </c>
      <c r="C78" s="38" t="s">
        <v>28</v>
      </c>
      <c r="D78" s="35" t="s">
        <v>64</v>
      </c>
      <c r="E78" s="36" t="s">
        <v>29</v>
      </c>
      <c r="F78" s="32">
        <f t="shared" si="5"/>
        <v>462374.434</v>
      </c>
      <c r="G78" s="37">
        <f>461674.434+700</f>
        <v>462374.434</v>
      </c>
      <c r="H78" s="37">
        <f>277968.8-277968.8</f>
        <v>0</v>
      </c>
      <c r="I78" s="37">
        <f>58628.4-58628.4</f>
        <v>0</v>
      </c>
      <c r="J78" s="37">
        <v>0</v>
      </c>
      <c r="K78" s="32">
        <v>7359</v>
      </c>
      <c r="L78" s="37"/>
      <c r="M78" s="37">
        <v>0</v>
      </c>
      <c r="N78" s="37">
        <v>0</v>
      </c>
      <c r="O78" s="37">
        <v>7359</v>
      </c>
      <c r="P78" s="37">
        <v>7359</v>
      </c>
      <c r="Q78" s="32">
        <v>469733.434</v>
      </c>
      <c r="S78" s="61"/>
    </row>
    <row r="79" spans="1:19" s="18" customFormat="1" ht="36" customHeight="1" hidden="1">
      <c r="A79" s="9"/>
      <c r="B79" s="38"/>
      <c r="C79" s="38"/>
      <c r="D79" s="35"/>
      <c r="E79" s="42" t="s">
        <v>303</v>
      </c>
      <c r="F79" s="43">
        <f t="shared" si="5"/>
        <v>263.2</v>
      </c>
      <c r="G79" s="44">
        <v>263.2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3">
        <v>263.2</v>
      </c>
      <c r="S79" s="61"/>
    </row>
    <row r="80" spans="1:19" s="18" customFormat="1" ht="30" hidden="1">
      <c r="A80" s="9"/>
      <c r="B80" s="38">
        <v>1412060</v>
      </c>
      <c r="C80" s="38" t="s">
        <v>30</v>
      </c>
      <c r="D80" s="35" t="s">
        <v>65</v>
      </c>
      <c r="E80" s="36" t="s">
        <v>31</v>
      </c>
      <c r="F80" s="32">
        <f t="shared" si="5"/>
        <v>27652.2</v>
      </c>
      <c r="G80" s="37">
        <f>26092.2+1560</f>
        <v>27652.2</v>
      </c>
      <c r="H80" s="37">
        <f>15217.6-15217.6</f>
        <v>0</v>
      </c>
      <c r="I80" s="37">
        <f>2763.3-2763.3</f>
        <v>0</v>
      </c>
      <c r="J80" s="37">
        <v>0</v>
      </c>
      <c r="K80" s="32">
        <v>380</v>
      </c>
      <c r="L80" s="37"/>
      <c r="M80" s="37">
        <v>0</v>
      </c>
      <c r="N80" s="37">
        <v>0</v>
      </c>
      <c r="O80" s="37">
        <v>380</v>
      </c>
      <c r="P80" s="37">
        <v>380</v>
      </c>
      <c r="Q80" s="32">
        <v>28032.2</v>
      </c>
      <c r="S80" s="61"/>
    </row>
    <row r="81" spans="1:19" s="18" customFormat="1" ht="45" hidden="1">
      <c r="A81" s="9"/>
      <c r="B81" s="38">
        <v>1412070</v>
      </c>
      <c r="C81" s="38" t="s">
        <v>32</v>
      </c>
      <c r="D81" s="35" t="s">
        <v>66</v>
      </c>
      <c r="E81" s="50" t="s">
        <v>33</v>
      </c>
      <c r="F81" s="32">
        <f t="shared" si="5"/>
        <v>19923.8</v>
      </c>
      <c r="G81" s="37">
        <f>19766.8+157</f>
        <v>19923.8</v>
      </c>
      <c r="H81" s="37">
        <f>11987.7-11987.7</f>
        <v>0</v>
      </c>
      <c r="I81" s="37">
        <f>2278.9-2278.9</f>
        <v>0</v>
      </c>
      <c r="J81" s="37">
        <v>0</v>
      </c>
      <c r="K81" s="32">
        <v>422</v>
      </c>
      <c r="L81" s="37">
        <v>0</v>
      </c>
      <c r="M81" s="37">
        <v>0</v>
      </c>
      <c r="N81" s="37">
        <v>0</v>
      </c>
      <c r="O81" s="37">
        <v>422</v>
      </c>
      <c r="P81" s="37">
        <v>422</v>
      </c>
      <c r="Q81" s="32">
        <v>20345.8</v>
      </c>
      <c r="S81" s="61"/>
    </row>
    <row r="82" spans="1:19" s="18" customFormat="1" ht="45" hidden="1">
      <c r="A82" s="9"/>
      <c r="B82" s="38">
        <v>1412090</v>
      </c>
      <c r="C82" s="38" t="s">
        <v>34</v>
      </c>
      <c r="D82" s="35" t="s">
        <v>67</v>
      </c>
      <c r="E82" s="50" t="s">
        <v>35</v>
      </c>
      <c r="F82" s="32">
        <f t="shared" si="5"/>
        <v>25135</v>
      </c>
      <c r="G82" s="37">
        <f>24985+150</f>
        <v>25135</v>
      </c>
      <c r="H82" s="37">
        <f>16827.1-16827.1</f>
        <v>0</v>
      </c>
      <c r="I82" s="37">
        <f>2005.3-2005.3</f>
        <v>0</v>
      </c>
      <c r="J82" s="37">
        <v>0</v>
      </c>
      <c r="K82" s="32">
        <v>2300</v>
      </c>
      <c r="L82" s="37">
        <v>0</v>
      </c>
      <c r="M82" s="37">
        <v>0</v>
      </c>
      <c r="N82" s="37">
        <v>0</v>
      </c>
      <c r="O82" s="37">
        <v>2300</v>
      </c>
      <c r="P82" s="37">
        <v>2300</v>
      </c>
      <c r="Q82" s="32">
        <v>27435</v>
      </c>
      <c r="S82" s="61"/>
    </row>
    <row r="83" spans="1:19" s="18" customFormat="1" ht="30" hidden="1">
      <c r="A83" s="9"/>
      <c r="B83" s="38">
        <v>1412100</v>
      </c>
      <c r="C83" s="38" t="s">
        <v>36</v>
      </c>
      <c r="D83" s="35" t="s">
        <v>68</v>
      </c>
      <c r="E83" s="50" t="s">
        <v>37</v>
      </c>
      <c r="F83" s="32">
        <f t="shared" si="5"/>
        <v>15096.6</v>
      </c>
      <c r="G83" s="37">
        <f>14386.6+710</f>
        <v>15096.6</v>
      </c>
      <c r="H83" s="37">
        <f>8645.7-8645.7</f>
        <v>0</v>
      </c>
      <c r="I83" s="37">
        <f>995.9-995.9</f>
        <v>0</v>
      </c>
      <c r="J83" s="37">
        <v>0</v>
      </c>
      <c r="K83" s="37">
        <v>0</v>
      </c>
      <c r="L83" s="37"/>
      <c r="M83" s="37">
        <v>0</v>
      </c>
      <c r="N83" s="37">
        <v>0</v>
      </c>
      <c r="O83" s="37"/>
      <c r="P83" s="37">
        <v>0</v>
      </c>
      <c r="Q83" s="32">
        <v>15096.6</v>
      </c>
      <c r="S83" s="61"/>
    </row>
    <row r="84" spans="1:19" s="18" customFormat="1" ht="30" hidden="1">
      <c r="A84" s="9"/>
      <c r="B84" s="38">
        <v>1412110</v>
      </c>
      <c r="C84" s="38" t="s">
        <v>38</v>
      </c>
      <c r="D84" s="35" t="s">
        <v>69</v>
      </c>
      <c r="E84" s="36" t="s">
        <v>393</v>
      </c>
      <c r="F84" s="32">
        <f t="shared" si="5"/>
        <v>191024.9</v>
      </c>
      <c r="G84" s="37">
        <f>190624.9+400</f>
        <v>191024.9</v>
      </c>
      <c r="H84" s="37">
        <f>129670.8-129670.8</f>
        <v>0</v>
      </c>
      <c r="I84" s="37">
        <f>4366-4366</f>
        <v>0</v>
      </c>
      <c r="J84" s="37">
        <v>0</v>
      </c>
      <c r="K84" s="32">
        <v>6500</v>
      </c>
      <c r="L84" s="37"/>
      <c r="M84" s="37">
        <v>0</v>
      </c>
      <c r="N84" s="37">
        <v>0</v>
      </c>
      <c r="O84" s="37">
        <v>6500</v>
      </c>
      <c r="P84" s="37">
        <v>6500</v>
      </c>
      <c r="Q84" s="32">
        <v>197524.9</v>
      </c>
      <c r="S84" s="61"/>
    </row>
    <row r="85" spans="1:19" s="18" customFormat="1" ht="15" hidden="1">
      <c r="A85" s="9"/>
      <c r="B85" s="38"/>
      <c r="C85" s="38"/>
      <c r="D85" s="35"/>
      <c r="E85" s="36"/>
      <c r="F85" s="32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2"/>
      <c r="S85" s="61"/>
    </row>
    <row r="86" spans="1:19" s="18" customFormat="1" ht="30" hidden="1">
      <c r="A86" s="9"/>
      <c r="B86" s="38">
        <v>1412130</v>
      </c>
      <c r="C86" s="38" t="s">
        <v>39</v>
      </c>
      <c r="D86" s="35" t="s">
        <v>70</v>
      </c>
      <c r="E86" s="36" t="s">
        <v>40</v>
      </c>
      <c r="F86" s="32">
        <f>G86+J86</f>
        <v>2595</v>
      </c>
      <c r="G86" s="37">
        <f>2495+100</f>
        <v>2595</v>
      </c>
      <c r="H86" s="37">
        <f>1897.7-1897.7</f>
        <v>0</v>
      </c>
      <c r="I86" s="37">
        <f>106.3-106.3</f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/>
      <c r="P86" s="37">
        <v>0</v>
      </c>
      <c r="Q86" s="32">
        <v>2595</v>
      </c>
      <c r="S86" s="61"/>
    </row>
    <row r="87" spans="1:19" s="18" customFormat="1" ht="45" hidden="1">
      <c r="A87" s="9"/>
      <c r="B87" s="38">
        <v>1412170</v>
      </c>
      <c r="C87" s="38" t="s">
        <v>41</v>
      </c>
      <c r="D87" s="35" t="s">
        <v>71</v>
      </c>
      <c r="E87" s="36" t="s">
        <v>42</v>
      </c>
      <c r="F87" s="32">
        <f t="shared" si="5"/>
        <v>1828.3</v>
      </c>
      <c r="G87" s="37">
        <f>1813.3+15</f>
        <v>1828.3</v>
      </c>
      <c r="H87" s="37">
        <f>1406.9-1406.9</f>
        <v>0</v>
      </c>
      <c r="I87" s="37">
        <f>51.8-51.8</f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2">
        <v>1828.3</v>
      </c>
      <c r="S87" s="61"/>
    </row>
    <row r="88" spans="1:19" s="18" customFormat="1" ht="30" hidden="1">
      <c r="A88" s="9"/>
      <c r="B88" s="38">
        <v>1412190</v>
      </c>
      <c r="C88" s="38" t="s">
        <v>43</v>
      </c>
      <c r="D88" s="35" t="s">
        <v>72</v>
      </c>
      <c r="E88" s="36" t="s">
        <v>44</v>
      </c>
      <c r="F88" s="32">
        <f t="shared" si="5"/>
        <v>10556.9</v>
      </c>
      <c r="G88" s="37">
        <v>10556.9</v>
      </c>
      <c r="H88" s="37">
        <f>8098.2-8098.2</f>
        <v>0</v>
      </c>
      <c r="I88" s="37">
        <f>527.5-527.5</f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2">
        <v>10556.9</v>
      </c>
      <c r="S88" s="61"/>
    </row>
    <row r="89" spans="1:19" s="18" customFormat="1" ht="15" hidden="1">
      <c r="A89" s="9"/>
      <c r="B89" s="38"/>
      <c r="C89" s="38"/>
      <c r="D89" s="35"/>
      <c r="E89" s="50"/>
      <c r="F89" s="32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2"/>
      <c r="S89" s="61"/>
    </row>
    <row r="90" spans="1:20" s="18" customFormat="1" ht="30" hidden="1">
      <c r="A90" s="9"/>
      <c r="B90" s="38">
        <v>1412220</v>
      </c>
      <c r="C90" s="38" t="s">
        <v>45</v>
      </c>
      <c r="D90" s="35" t="s">
        <v>73</v>
      </c>
      <c r="E90" s="50" t="s">
        <v>46</v>
      </c>
      <c r="F90" s="32">
        <f>G90+J90</f>
        <v>159191</v>
      </c>
      <c r="G90" s="37">
        <f>159561-400+30</f>
        <v>159191</v>
      </c>
      <c r="H90" s="106">
        <v>2903.13984</v>
      </c>
      <c r="I90" s="106">
        <v>433.33616</v>
      </c>
      <c r="J90" s="37"/>
      <c r="K90" s="32">
        <v>72791.37965</v>
      </c>
      <c r="L90" s="37">
        <v>20608.27965</v>
      </c>
      <c r="M90" s="37">
        <v>0</v>
      </c>
      <c r="N90" s="37">
        <v>0</v>
      </c>
      <c r="O90" s="37">
        <v>52183.1</v>
      </c>
      <c r="P90" s="37">
        <v>6666</v>
      </c>
      <c r="Q90" s="32">
        <v>231982.37965000002</v>
      </c>
      <c r="S90" s="61"/>
      <c r="T90" s="61"/>
    </row>
    <row r="91" spans="1:19" s="18" customFormat="1" ht="25.5" hidden="1">
      <c r="A91" s="9"/>
      <c r="B91" s="94">
        <v>1412220</v>
      </c>
      <c r="C91" s="94" t="s">
        <v>45</v>
      </c>
      <c r="D91" s="95" t="s">
        <v>73</v>
      </c>
      <c r="E91" s="96" t="s">
        <v>392</v>
      </c>
      <c r="F91" s="97">
        <f>G91</f>
        <v>3996.27656</v>
      </c>
      <c r="G91" s="98">
        <v>3996.27656</v>
      </c>
      <c r="H91" s="98">
        <v>2903.13984</v>
      </c>
      <c r="I91" s="98">
        <v>433.33616</v>
      </c>
      <c r="J91" s="84"/>
      <c r="K91" s="34"/>
      <c r="L91" s="84"/>
      <c r="M91" s="84"/>
      <c r="N91" s="84"/>
      <c r="O91" s="84"/>
      <c r="P91" s="84"/>
      <c r="Q91" s="97">
        <v>3996.27656</v>
      </c>
      <c r="S91" s="61"/>
    </row>
    <row r="92" spans="1:19" s="18" customFormat="1" ht="36" hidden="1">
      <c r="A92" s="9"/>
      <c r="B92" s="40"/>
      <c r="C92" s="40"/>
      <c r="D92" s="41"/>
      <c r="E92" s="42" t="s">
        <v>47</v>
      </c>
      <c r="F92" s="43">
        <f t="shared" si="5"/>
        <v>779.9</v>
      </c>
      <c r="G92" s="44">
        <v>779.9</v>
      </c>
      <c r="H92" s="44">
        <v>0</v>
      </c>
      <c r="I92" s="44">
        <v>0</v>
      </c>
      <c r="J92" s="44">
        <v>0</v>
      </c>
      <c r="K92" s="43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3">
        <v>779.9</v>
      </c>
      <c r="S92" s="61"/>
    </row>
    <row r="93" spans="1:19" s="18" customFormat="1" ht="35.25" customHeight="1" hidden="1">
      <c r="A93" s="9"/>
      <c r="B93" s="40"/>
      <c r="C93" s="40"/>
      <c r="D93" s="41"/>
      <c r="E93" s="42" t="s">
        <v>48</v>
      </c>
      <c r="F93" s="43">
        <f t="shared" si="5"/>
        <v>5672.4</v>
      </c>
      <c r="G93" s="44">
        <v>5672.4</v>
      </c>
      <c r="H93" s="44">
        <v>0</v>
      </c>
      <c r="I93" s="44">
        <v>0</v>
      </c>
      <c r="J93" s="44">
        <v>0</v>
      </c>
      <c r="K93" s="43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3">
        <v>5672.4</v>
      </c>
      <c r="S93" s="61"/>
    </row>
    <row r="94" spans="1:19" s="18" customFormat="1" ht="72.75" customHeight="1" hidden="1">
      <c r="A94" s="9"/>
      <c r="B94" s="40"/>
      <c r="C94" s="40"/>
      <c r="D94" s="41"/>
      <c r="E94" s="42" t="s">
        <v>49</v>
      </c>
      <c r="F94" s="43">
        <f t="shared" si="5"/>
        <v>0</v>
      </c>
      <c r="G94" s="44">
        <v>0</v>
      </c>
      <c r="H94" s="44">
        <v>0</v>
      </c>
      <c r="I94" s="44">
        <v>0</v>
      </c>
      <c r="J94" s="44">
        <v>0</v>
      </c>
      <c r="K94" s="43">
        <v>13729.27965</v>
      </c>
      <c r="L94" s="44">
        <v>5576.67965</v>
      </c>
      <c r="M94" s="44">
        <v>0</v>
      </c>
      <c r="N94" s="44">
        <v>0</v>
      </c>
      <c r="O94" s="44">
        <v>8152.6</v>
      </c>
      <c r="P94" s="44">
        <v>0</v>
      </c>
      <c r="Q94" s="43">
        <v>13729.27965</v>
      </c>
      <c r="S94" s="61"/>
    </row>
    <row r="95" spans="1:19" s="18" customFormat="1" ht="24" hidden="1">
      <c r="A95" s="9"/>
      <c r="B95" s="40"/>
      <c r="C95" s="40"/>
      <c r="D95" s="41"/>
      <c r="E95" s="42" t="s">
        <v>50</v>
      </c>
      <c r="F95" s="43">
        <f t="shared" si="5"/>
        <v>0</v>
      </c>
      <c r="G95" s="44">
        <v>0</v>
      </c>
      <c r="H95" s="44">
        <v>0</v>
      </c>
      <c r="I95" s="44">
        <v>0</v>
      </c>
      <c r="J95" s="44">
        <v>0</v>
      </c>
      <c r="K95" s="43">
        <v>6166</v>
      </c>
      <c r="L95" s="44">
        <v>0</v>
      </c>
      <c r="M95" s="44">
        <v>0</v>
      </c>
      <c r="N95" s="44">
        <v>0</v>
      </c>
      <c r="O95" s="44">
        <v>6166</v>
      </c>
      <c r="P95" s="44">
        <v>6166</v>
      </c>
      <c r="Q95" s="43">
        <v>6166</v>
      </c>
      <c r="S95" s="61"/>
    </row>
    <row r="96" spans="1:19" s="18" customFormat="1" ht="36" hidden="1">
      <c r="A96" s="9"/>
      <c r="B96" s="40"/>
      <c r="C96" s="40"/>
      <c r="D96" s="41"/>
      <c r="E96" s="42" t="s">
        <v>51</v>
      </c>
      <c r="F96" s="43">
        <f t="shared" si="5"/>
        <v>20553.4</v>
      </c>
      <c r="G96" s="44">
        <v>20553.4</v>
      </c>
      <c r="H96" s="44">
        <v>0</v>
      </c>
      <c r="I96" s="44">
        <v>0</v>
      </c>
      <c r="J96" s="44">
        <v>0</v>
      </c>
      <c r="K96" s="43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3">
        <v>20553.4</v>
      </c>
      <c r="S96" s="61"/>
    </row>
    <row r="97" spans="1:19" s="18" customFormat="1" ht="38.25" customHeight="1" hidden="1">
      <c r="A97" s="9"/>
      <c r="B97" s="40"/>
      <c r="C97" s="40"/>
      <c r="D97" s="41"/>
      <c r="E97" s="42" t="s">
        <v>52</v>
      </c>
      <c r="F97" s="43">
        <f t="shared" si="5"/>
        <v>43880.7</v>
      </c>
      <c r="G97" s="44">
        <v>43880.7</v>
      </c>
      <c r="H97" s="44">
        <v>0</v>
      </c>
      <c r="I97" s="44">
        <v>0</v>
      </c>
      <c r="J97" s="44">
        <v>0</v>
      </c>
      <c r="K97" s="43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3">
        <v>43880.7</v>
      </c>
      <c r="S97" s="61"/>
    </row>
    <row r="98" spans="1:19" s="18" customFormat="1" ht="92.25" customHeight="1" hidden="1">
      <c r="A98" s="9"/>
      <c r="B98" s="40"/>
      <c r="C98" s="40"/>
      <c r="D98" s="41"/>
      <c r="E98" s="42" t="s">
        <v>53</v>
      </c>
      <c r="F98" s="43">
        <f t="shared" si="5"/>
        <v>2925.9</v>
      </c>
      <c r="G98" s="44">
        <v>2925.9</v>
      </c>
      <c r="H98" s="44">
        <v>0</v>
      </c>
      <c r="I98" s="44">
        <v>0</v>
      </c>
      <c r="J98" s="44">
        <v>0</v>
      </c>
      <c r="K98" s="43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3">
        <v>2925.9</v>
      </c>
      <c r="S98" s="61"/>
    </row>
    <row r="99" spans="1:19" s="18" customFormat="1" ht="75" customHeight="1" hidden="1">
      <c r="A99" s="9"/>
      <c r="B99" s="38">
        <v>1412200</v>
      </c>
      <c r="C99" s="38" t="s">
        <v>54</v>
      </c>
      <c r="D99" s="35" t="s">
        <v>74</v>
      </c>
      <c r="E99" s="36" t="s">
        <v>55</v>
      </c>
      <c r="F99" s="32">
        <f t="shared" si="5"/>
        <v>9080.960000000001</v>
      </c>
      <c r="G99" s="37">
        <f>8888.76+192.2</f>
        <v>9080.960000000001</v>
      </c>
      <c r="H99" s="37">
        <f>4026.41-4026.41</f>
        <v>0</v>
      </c>
      <c r="I99" s="37">
        <f>474.8-474.8</f>
        <v>0</v>
      </c>
      <c r="J99" s="37">
        <v>0</v>
      </c>
      <c r="K99" s="37">
        <v>0</v>
      </c>
      <c r="L99" s="37"/>
      <c r="M99" s="37">
        <v>0</v>
      </c>
      <c r="N99" s="37">
        <v>0</v>
      </c>
      <c r="O99" s="37">
        <v>0</v>
      </c>
      <c r="P99" s="37">
        <v>0</v>
      </c>
      <c r="Q99" s="32">
        <v>9080.96</v>
      </c>
      <c r="S99" s="61"/>
    </row>
    <row r="100" spans="1:19" s="18" customFormat="1" ht="45" hidden="1">
      <c r="A100" s="9"/>
      <c r="B100" s="38">
        <v>1412214</v>
      </c>
      <c r="C100" s="38" t="s">
        <v>56</v>
      </c>
      <c r="D100" s="35" t="s">
        <v>75</v>
      </c>
      <c r="E100" s="36" t="s">
        <v>57</v>
      </c>
      <c r="F100" s="32">
        <f t="shared" si="5"/>
        <v>13816.905</v>
      </c>
      <c r="G100" s="37">
        <f>25117.805-11300.9</f>
        <v>13816.905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2">
        <v>13816.905</v>
      </c>
      <c r="S100" s="61"/>
    </row>
    <row r="101" spans="1:19" s="19" customFormat="1" ht="14.25" customHeight="1" hidden="1">
      <c r="A101" s="14"/>
      <c r="B101" s="39">
        <v>1414000</v>
      </c>
      <c r="C101" s="39">
        <v>4000</v>
      </c>
      <c r="D101" s="121" t="s">
        <v>58</v>
      </c>
      <c r="E101" s="123"/>
      <c r="F101" s="32">
        <f t="shared" si="5"/>
        <v>2629.4</v>
      </c>
      <c r="G101" s="32">
        <f>G102</f>
        <v>2629.4</v>
      </c>
      <c r="H101" s="32">
        <f>H102</f>
        <v>1765.1</v>
      </c>
      <c r="I101" s="32">
        <f>I102</f>
        <v>171.5</v>
      </c>
      <c r="J101" s="32">
        <f>J102</f>
        <v>0</v>
      </c>
      <c r="K101" s="32">
        <v>10</v>
      </c>
      <c r="L101" s="32">
        <v>10</v>
      </c>
      <c r="M101" s="32">
        <v>0</v>
      </c>
      <c r="N101" s="32">
        <v>2</v>
      </c>
      <c r="O101" s="32">
        <v>0</v>
      </c>
      <c r="P101" s="32">
        <v>0</v>
      </c>
      <c r="Q101" s="32">
        <v>2639.4</v>
      </c>
      <c r="S101" s="61"/>
    </row>
    <row r="102" spans="1:19" s="18" customFormat="1" ht="30" hidden="1">
      <c r="A102" s="9"/>
      <c r="B102" s="38">
        <v>1414060</v>
      </c>
      <c r="C102" s="38" t="s">
        <v>59</v>
      </c>
      <c r="D102" s="35" t="s">
        <v>76</v>
      </c>
      <c r="E102" s="36" t="s">
        <v>60</v>
      </c>
      <c r="F102" s="32">
        <f t="shared" si="5"/>
        <v>2629.4</v>
      </c>
      <c r="G102" s="37">
        <v>2629.4</v>
      </c>
      <c r="H102" s="37">
        <v>1765.1</v>
      </c>
      <c r="I102" s="37">
        <v>171.5</v>
      </c>
      <c r="J102" s="37">
        <v>0</v>
      </c>
      <c r="K102" s="37">
        <v>10</v>
      </c>
      <c r="L102" s="37">
        <v>10</v>
      </c>
      <c r="M102" s="37">
        <v>0</v>
      </c>
      <c r="N102" s="37">
        <v>2</v>
      </c>
      <c r="O102" s="37">
        <v>0</v>
      </c>
      <c r="P102" s="37">
        <v>0</v>
      </c>
      <c r="Q102" s="32">
        <v>2639.4</v>
      </c>
      <c r="S102" s="61"/>
    </row>
    <row r="103" spans="1:20" s="18" customFormat="1" ht="30">
      <c r="A103" s="9"/>
      <c r="B103" s="38">
        <v>1419150</v>
      </c>
      <c r="C103" s="38">
        <v>9150</v>
      </c>
      <c r="D103" s="35" t="s">
        <v>344</v>
      </c>
      <c r="E103" s="36" t="s">
        <v>343</v>
      </c>
      <c r="F103" s="32"/>
      <c r="G103" s="37"/>
      <c r="H103" s="37"/>
      <c r="I103" s="37"/>
      <c r="J103" s="37"/>
      <c r="K103" s="32">
        <v>609.7</v>
      </c>
      <c r="L103" s="37">
        <v>109.7</v>
      </c>
      <c r="M103" s="37"/>
      <c r="N103" s="37"/>
      <c r="O103" s="37">
        <v>500</v>
      </c>
      <c r="P103" s="37"/>
      <c r="Q103" s="32">
        <v>609.7</v>
      </c>
      <c r="S103" s="61"/>
      <c r="T103" s="61"/>
    </row>
    <row r="104" spans="2:20" ht="15" customHeight="1" hidden="1">
      <c r="B104" s="39" t="s">
        <v>78</v>
      </c>
      <c r="C104" s="121" t="s">
        <v>98</v>
      </c>
      <c r="D104" s="122"/>
      <c r="E104" s="123"/>
      <c r="F104" s="62">
        <f t="shared" si="5"/>
        <v>146665.592</v>
      </c>
      <c r="G104" s="62">
        <f>G105</f>
        <v>146665.592</v>
      </c>
      <c r="H104" s="62">
        <f>H105</f>
        <v>69939.9</v>
      </c>
      <c r="I104" s="62">
        <f>I105</f>
        <v>19337.9</v>
      </c>
      <c r="J104" s="62">
        <f>J105</f>
        <v>0</v>
      </c>
      <c r="K104" s="62">
        <v>23363.3</v>
      </c>
      <c r="L104" s="62">
        <v>23025.3</v>
      </c>
      <c r="M104" s="62">
        <v>0</v>
      </c>
      <c r="N104" s="62">
        <v>0</v>
      </c>
      <c r="O104" s="62">
        <v>338</v>
      </c>
      <c r="P104" s="62">
        <v>0</v>
      </c>
      <c r="Q104" s="62">
        <v>170028.892</v>
      </c>
      <c r="S104" s="63">
        <f>S114+S115+S116+S118+S123+S120</f>
        <v>0</v>
      </c>
      <c r="T104" s="63"/>
    </row>
    <row r="105" spans="2:19" ht="15" hidden="1">
      <c r="B105" s="46" t="s">
        <v>79</v>
      </c>
      <c r="C105" s="124" t="s">
        <v>98</v>
      </c>
      <c r="D105" s="125"/>
      <c r="E105" s="126"/>
      <c r="F105" s="34">
        <f t="shared" si="5"/>
        <v>146665.592</v>
      </c>
      <c r="G105" s="34">
        <f>G107+G110+G112+G117+G120+G121+G122+G123+G124+G126+G119</f>
        <v>146665.592</v>
      </c>
      <c r="H105" s="34">
        <f>H107+H110+H112+H117+H120+H121+H122+H123+H124+H126</f>
        <v>69939.9</v>
      </c>
      <c r="I105" s="34">
        <f>I107+I110+I112+I117+I120+I121+I122+I123+I124+I126</f>
        <v>19337.9</v>
      </c>
      <c r="J105" s="34">
        <f>J107+J110+J112+J117+J120+J121+J122+J123+J124+J126</f>
        <v>0</v>
      </c>
      <c r="K105" s="34">
        <v>23363.3</v>
      </c>
      <c r="L105" s="34">
        <v>23025.3</v>
      </c>
      <c r="M105" s="34">
        <v>0</v>
      </c>
      <c r="N105" s="34">
        <v>0</v>
      </c>
      <c r="O105" s="34">
        <v>338</v>
      </c>
      <c r="P105" s="34">
        <v>0</v>
      </c>
      <c r="Q105" s="34">
        <v>170028.892</v>
      </c>
      <c r="S105" s="61"/>
    </row>
    <row r="106" spans="2:19" ht="14.25" hidden="1">
      <c r="B106" s="39">
        <v>1513000</v>
      </c>
      <c r="C106" s="39">
        <v>3000</v>
      </c>
      <c r="D106" s="121" t="s">
        <v>81</v>
      </c>
      <c r="E106" s="123"/>
      <c r="F106" s="32">
        <f t="shared" si="5"/>
        <v>146315.592</v>
      </c>
      <c r="G106" s="32">
        <f>G107+G110+G112+G117+G120+G121+G122+G123+G124+G119</f>
        <v>146315.592</v>
      </c>
      <c r="H106" s="32">
        <f>H107+H110+H112+H117+H120+H121+H122+H123+H124</f>
        <v>69939.9</v>
      </c>
      <c r="I106" s="32">
        <f>I107+I110+I112+I117+I120+I121+I122+I123+I124</f>
        <v>19337.9</v>
      </c>
      <c r="J106" s="32">
        <f>J107+J110+J112+J117+J120+J121+J122+J123+J124</f>
        <v>0</v>
      </c>
      <c r="K106" s="32">
        <v>23363.3</v>
      </c>
      <c r="L106" s="32">
        <v>23025.3</v>
      </c>
      <c r="M106" s="32">
        <v>0</v>
      </c>
      <c r="N106" s="32">
        <v>0</v>
      </c>
      <c r="O106" s="32">
        <v>338</v>
      </c>
      <c r="P106" s="32">
        <v>0</v>
      </c>
      <c r="Q106" s="32">
        <v>169678.892</v>
      </c>
      <c r="S106" s="61"/>
    </row>
    <row r="107" spans="2:19" ht="43.5" customHeight="1" hidden="1">
      <c r="B107" s="38">
        <v>1513100</v>
      </c>
      <c r="C107" s="38" t="s">
        <v>82</v>
      </c>
      <c r="D107" s="127" t="s">
        <v>311</v>
      </c>
      <c r="E107" s="128"/>
      <c r="F107" s="32">
        <f t="shared" si="5"/>
        <v>113457.064</v>
      </c>
      <c r="G107" s="37">
        <f>G108+G109</f>
        <v>113457.064</v>
      </c>
      <c r="H107" s="37">
        <f>H108+H109</f>
        <v>62076.299999999996</v>
      </c>
      <c r="I107" s="37">
        <f>I108+I109</f>
        <v>18299</v>
      </c>
      <c r="J107" s="37">
        <f>J108+J109</f>
        <v>0</v>
      </c>
      <c r="K107" s="37">
        <v>23363.3</v>
      </c>
      <c r="L107" s="37">
        <v>23025.3</v>
      </c>
      <c r="M107" s="37">
        <v>0</v>
      </c>
      <c r="N107" s="37">
        <v>0</v>
      </c>
      <c r="O107" s="37">
        <v>338</v>
      </c>
      <c r="P107" s="37">
        <v>0</v>
      </c>
      <c r="Q107" s="32">
        <v>136820.364</v>
      </c>
      <c r="S107" s="61"/>
    </row>
    <row r="108" spans="2:19" ht="60" hidden="1">
      <c r="B108" s="38">
        <v>1513101</v>
      </c>
      <c r="C108" s="38">
        <v>3101</v>
      </c>
      <c r="D108" s="35" t="s">
        <v>104</v>
      </c>
      <c r="E108" s="36" t="s">
        <v>83</v>
      </c>
      <c r="F108" s="32">
        <f t="shared" si="5"/>
        <v>22853.7</v>
      </c>
      <c r="G108" s="37">
        <f>24035.5-1181.8</f>
        <v>22853.7</v>
      </c>
      <c r="H108" s="37">
        <f>13445.5-271.9</f>
        <v>13173.6</v>
      </c>
      <c r="I108" s="37">
        <v>2685</v>
      </c>
      <c r="J108" s="37"/>
      <c r="K108" s="37">
        <v>4550</v>
      </c>
      <c r="L108" s="37">
        <v>4550</v>
      </c>
      <c r="M108" s="37"/>
      <c r="N108" s="37"/>
      <c r="O108" s="37"/>
      <c r="P108" s="37"/>
      <c r="Q108" s="32">
        <v>27403.7</v>
      </c>
      <c r="S108" s="61"/>
    </row>
    <row r="109" spans="2:19" ht="135" hidden="1">
      <c r="B109" s="38">
        <v>1513102</v>
      </c>
      <c r="C109" s="38">
        <v>3102</v>
      </c>
      <c r="D109" s="35" t="s">
        <v>99</v>
      </c>
      <c r="E109" s="36" t="s">
        <v>84</v>
      </c>
      <c r="F109" s="32">
        <f t="shared" si="5"/>
        <v>90603.364</v>
      </c>
      <c r="G109" s="37">
        <f>93979.564-3376.2</f>
        <v>90603.364</v>
      </c>
      <c r="H109" s="37">
        <f>50232.7-1330</f>
        <v>48902.7</v>
      </c>
      <c r="I109" s="37">
        <v>15614</v>
      </c>
      <c r="J109" s="37"/>
      <c r="K109" s="37">
        <v>18813.3</v>
      </c>
      <c r="L109" s="37">
        <v>18475.3</v>
      </c>
      <c r="M109" s="37"/>
      <c r="N109" s="37"/>
      <c r="O109" s="37">
        <v>338</v>
      </c>
      <c r="P109" s="37"/>
      <c r="Q109" s="32">
        <v>109416.664</v>
      </c>
      <c r="S109" s="61"/>
    </row>
    <row r="110" spans="2:19" ht="29.25" customHeight="1" hidden="1">
      <c r="B110" s="38">
        <v>1513110</v>
      </c>
      <c r="C110" s="38">
        <v>3110</v>
      </c>
      <c r="D110" s="127" t="s">
        <v>85</v>
      </c>
      <c r="E110" s="128"/>
      <c r="F110" s="32">
        <f t="shared" si="5"/>
        <v>861.1</v>
      </c>
      <c r="G110" s="37">
        <f>G111</f>
        <v>861.1</v>
      </c>
      <c r="H110" s="37">
        <f>H111</f>
        <v>463.6</v>
      </c>
      <c r="I110" s="37">
        <f>I111</f>
        <v>160.9</v>
      </c>
      <c r="J110" s="37">
        <f>J111</f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2">
        <v>861.1</v>
      </c>
      <c r="S110" s="61"/>
    </row>
    <row r="111" spans="2:19" ht="45" hidden="1">
      <c r="B111" s="38">
        <v>1513111</v>
      </c>
      <c r="C111" s="38">
        <v>3111</v>
      </c>
      <c r="D111" s="35" t="s">
        <v>101</v>
      </c>
      <c r="E111" s="36" t="s">
        <v>86</v>
      </c>
      <c r="F111" s="32">
        <f t="shared" si="5"/>
        <v>861.1</v>
      </c>
      <c r="G111" s="37">
        <v>861.1</v>
      </c>
      <c r="H111" s="37">
        <v>463.6</v>
      </c>
      <c r="I111" s="37">
        <v>160.9</v>
      </c>
      <c r="J111" s="37"/>
      <c r="K111" s="37">
        <v>0</v>
      </c>
      <c r="L111" s="37"/>
      <c r="M111" s="37"/>
      <c r="N111" s="37"/>
      <c r="O111" s="37"/>
      <c r="P111" s="37"/>
      <c r="Q111" s="32">
        <v>861.1</v>
      </c>
      <c r="S111" s="61"/>
    </row>
    <row r="112" spans="2:19" ht="30" customHeight="1" hidden="1">
      <c r="B112" s="38">
        <v>1513130</v>
      </c>
      <c r="C112" s="38">
        <v>3130</v>
      </c>
      <c r="D112" s="127" t="s">
        <v>87</v>
      </c>
      <c r="E112" s="128"/>
      <c r="F112" s="32">
        <f t="shared" si="5"/>
        <v>3904.6</v>
      </c>
      <c r="G112" s="37">
        <f>G114+G115+G116+G113</f>
        <v>3904.6</v>
      </c>
      <c r="H112" s="37">
        <v>1550</v>
      </c>
      <c r="I112" s="37">
        <v>107.5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2">
        <v>3904.6</v>
      </c>
      <c r="S112" s="61"/>
    </row>
    <row r="113" spans="2:17" ht="30" hidden="1">
      <c r="B113" s="38">
        <v>1513131</v>
      </c>
      <c r="C113" s="38">
        <v>3131</v>
      </c>
      <c r="D113" s="35" t="s">
        <v>100</v>
      </c>
      <c r="E113" s="36" t="s">
        <v>88</v>
      </c>
      <c r="F113" s="32">
        <f t="shared" si="5"/>
        <v>2312</v>
      </c>
      <c r="G113" s="37">
        <v>2312</v>
      </c>
      <c r="H113" s="37">
        <v>1550</v>
      </c>
      <c r="I113" s="37">
        <v>107.5</v>
      </c>
      <c r="J113" s="37"/>
      <c r="K113" s="37">
        <v>0</v>
      </c>
      <c r="L113" s="37"/>
      <c r="M113" s="37"/>
      <c r="N113" s="37"/>
      <c r="O113" s="37"/>
      <c r="P113" s="37"/>
      <c r="Q113" s="32">
        <v>2312</v>
      </c>
    </row>
    <row r="114" spans="2:19" ht="30" hidden="1">
      <c r="B114" s="38">
        <v>1513132</v>
      </c>
      <c r="C114" s="38">
        <v>3132</v>
      </c>
      <c r="D114" s="35" t="s">
        <v>102</v>
      </c>
      <c r="E114" s="36" t="s">
        <v>89</v>
      </c>
      <c r="F114" s="32">
        <f t="shared" si="5"/>
        <v>150</v>
      </c>
      <c r="G114" s="37">
        <v>150</v>
      </c>
      <c r="H114" s="37"/>
      <c r="I114" s="37"/>
      <c r="J114" s="37"/>
      <c r="K114" s="37">
        <v>0</v>
      </c>
      <c r="L114" s="37"/>
      <c r="M114" s="37"/>
      <c r="N114" s="37"/>
      <c r="O114" s="37"/>
      <c r="P114" s="37"/>
      <c r="Q114" s="32">
        <v>150</v>
      </c>
      <c r="S114" s="61"/>
    </row>
    <row r="115" spans="2:19" ht="45" hidden="1">
      <c r="B115" s="38">
        <v>1513133</v>
      </c>
      <c r="C115" s="38">
        <v>3133</v>
      </c>
      <c r="D115" s="35" t="s">
        <v>314</v>
      </c>
      <c r="E115" s="36" t="s">
        <v>315</v>
      </c>
      <c r="F115" s="32">
        <f t="shared" si="5"/>
        <v>550</v>
      </c>
      <c r="G115" s="37">
        <v>550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2">
        <v>550</v>
      </c>
      <c r="S115" s="61"/>
    </row>
    <row r="116" spans="2:19" ht="30" hidden="1">
      <c r="B116" s="38">
        <v>1513134</v>
      </c>
      <c r="C116" s="38">
        <v>3134</v>
      </c>
      <c r="D116" s="35" t="s">
        <v>316</v>
      </c>
      <c r="E116" s="36" t="s">
        <v>342</v>
      </c>
      <c r="F116" s="32">
        <f>G116+J116</f>
        <v>892.6</v>
      </c>
      <c r="G116" s="37">
        <v>892.6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2">
        <v>892.6</v>
      </c>
      <c r="S116" s="61"/>
    </row>
    <row r="117" spans="2:17" ht="30" customHeight="1" hidden="1">
      <c r="B117" s="38">
        <v>1513140</v>
      </c>
      <c r="C117" s="38">
        <v>3140</v>
      </c>
      <c r="D117" s="127" t="s">
        <v>318</v>
      </c>
      <c r="E117" s="128"/>
      <c r="F117" s="32">
        <f t="shared" si="5"/>
        <v>2000</v>
      </c>
      <c r="G117" s="37">
        <f>G118</f>
        <v>2000</v>
      </c>
      <c r="H117" s="37"/>
      <c r="I117" s="37"/>
      <c r="J117" s="37"/>
      <c r="K117" s="37">
        <v>0</v>
      </c>
      <c r="L117" s="37"/>
      <c r="M117" s="37"/>
      <c r="N117" s="37"/>
      <c r="O117" s="37"/>
      <c r="P117" s="37"/>
      <c r="Q117" s="32">
        <v>2000</v>
      </c>
    </row>
    <row r="118" spans="2:19" ht="60" hidden="1">
      <c r="B118" s="38">
        <v>1513141</v>
      </c>
      <c r="C118" s="38">
        <v>3141</v>
      </c>
      <c r="D118" s="35" t="s">
        <v>103</v>
      </c>
      <c r="E118" s="36" t="s">
        <v>319</v>
      </c>
      <c r="F118" s="32">
        <f>G118+J118</f>
        <v>2000</v>
      </c>
      <c r="G118" s="37">
        <f>3592.6-1592.6</f>
        <v>2000</v>
      </c>
      <c r="H118" s="37"/>
      <c r="I118" s="37"/>
      <c r="J118" s="37"/>
      <c r="K118" s="37">
        <v>0</v>
      </c>
      <c r="L118" s="37"/>
      <c r="M118" s="37"/>
      <c r="N118" s="37"/>
      <c r="O118" s="37"/>
      <c r="P118" s="37"/>
      <c r="Q118" s="32">
        <v>2000</v>
      </c>
      <c r="S118" s="61"/>
    </row>
    <row r="119" spans="2:17" ht="90" hidden="1">
      <c r="B119" s="38">
        <v>1513160</v>
      </c>
      <c r="C119" s="38">
        <v>3160</v>
      </c>
      <c r="D119" s="35" t="s">
        <v>317</v>
      </c>
      <c r="E119" s="36" t="s">
        <v>312</v>
      </c>
      <c r="F119" s="32">
        <v>4950</v>
      </c>
      <c r="G119" s="37">
        <v>4950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2">
        <v>4950</v>
      </c>
    </row>
    <row r="120" spans="2:19" ht="60" hidden="1">
      <c r="B120" s="38">
        <v>1513202</v>
      </c>
      <c r="C120" s="38">
        <v>3202</v>
      </c>
      <c r="D120" s="35" t="s">
        <v>105</v>
      </c>
      <c r="E120" s="36" t="s">
        <v>90</v>
      </c>
      <c r="F120" s="32">
        <f t="shared" si="5"/>
        <v>591</v>
      </c>
      <c r="G120" s="37">
        <f>569+6+6+10</f>
        <v>591</v>
      </c>
      <c r="H120" s="37"/>
      <c r="I120" s="37"/>
      <c r="J120" s="37"/>
      <c r="K120" s="37">
        <v>0</v>
      </c>
      <c r="L120" s="37"/>
      <c r="M120" s="37"/>
      <c r="N120" s="37"/>
      <c r="O120" s="37"/>
      <c r="P120" s="37"/>
      <c r="Q120" s="32">
        <v>591</v>
      </c>
      <c r="S120" s="90"/>
    </row>
    <row r="121" spans="2:17" ht="45" hidden="1">
      <c r="B121" s="38">
        <v>1513220</v>
      </c>
      <c r="C121" s="38">
        <v>3220</v>
      </c>
      <c r="D121" s="35" t="s">
        <v>106</v>
      </c>
      <c r="E121" s="36" t="s">
        <v>91</v>
      </c>
      <c r="F121" s="32">
        <f t="shared" si="5"/>
        <v>3717.2</v>
      </c>
      <c r="G121" s="37">
        <v>3717.2</v>
      </c>
      <c r="H121" s="37">
        <v>2300</v>
      </c>
      <c r="I121" s="37">
        <v>155</v>
      </c>
      <c r="J121" s="37"/>
      <c r="K121" s="37">
        <v>0</v>
      </c>
      <c r="L121" s="37"/>
      <c r="M121" s="37"/>
      <c r="N121" s="37"/>
      <c r="O121" s="37"/>
      <c r="P121" s="37"/>
      <c r="Q121" s="32">
        <v>3717.2</v>
      </c>
    </row>
    <row r="122" spans="2:17" ht="30" hidden="1">
      <c r="B122" s="38">
        <v>1513300</v>
      </c>
      <c r="C122" s="38">
        <v>3300</v>
      </c>
      <c r="D122" s="35" t="s">
        <v>107</v>
      </c>
      <c r="E122" s="36" t="s">
        <v>92</v>
      </c>
      <c r="F122" s="32">
        <f t="shared" si="5"/>
        <v>1338</v>
      </c>
      <c r="G122" s="37">
        <v>1338</v>
      </c>
      <c r="H122" s="37">
        <v>700</v>
      </c>
      <c r="I122" s="37">
        <v>92</v>
      </c>
      <c r="J122" s="37"/>
      <c r="K122" s="37">
        <v>0</v>
      </c>
      <c r="L122" s="37"/>
      <c r="M122" s="37"/>
      <c r="N122" s="37"/>
      <c r="O122" s="37"/>
      <c r="P122" s="37"/>
      <c r="Q122" s="32">
        <v>1338</v>
      </c>
    </row>
    <row r="123" spans="2:19" ht="30" hidden="1">
      <c r="B123" s="38" t="s">
        <v>93</v>
      </c>
      <c r="C123" s="38" t="s">
        <v>94</v>
      </c>
      <c r="D123" s="35" t="s">
        <v>108</v>
      </c>
      <c r="E123" s="36" t="s">
        <v>95</v>
      </c>
      <c r="F123" s="32">
        <f t="shared" si="5"/>
        <v>9392.628</v>
      </c>
      <c r="G123" s="37">
        <f>10224.715-832.087</f>
        <v>9392.628</v>
      </c>
      <c r="H123" s="37"/>
      <c r="I123" s="37"/>
      <c r="J123" s="37"/>
      <c r="K123" s="37">
        <v>0</v>
      </c>
      <c r="L123" s="37"/>
      <c r="M123" s="37"/>
      <c r="N123" s="37"/>
      <c r="O123" s="37"/>
      <c r="P123" s="37"/>
      <c r="Q123" s="32">
        <v>9392.628</v>
      </c>
      <c r="S123" s="89"/>
    </row>
    <row r="124" spans="2:17" ht="30" hidden="1">
      <c r="B124" s="38">
        <v>1513500</v>
      </c>
      <c r="C124" s="38">
        <v>3500</v>
      </c>
      <c r="D124" s="35" t="s">
        <v>109</v>
      </c>
      <c r="E124" s="36" t="s">
        <v>96</v>
      </c>
      <c r="F124" s="32">
        <f t="shared" si="5"/>
        <v>6104</v>
      </c>
      <c r="G124" s="37">
        <f>6296-192</f>
        <v>6104</v>
      </c>
      <c r="H124" s="37">
        <f>2950-100</f>
        <v>2850</v>
      </c>
      <c r="I124" s="37">
        <v>523.5</v>
      </c>
      <c r="J124" s="37"/>
      <c r="K124" s="37">
        <v>0</v>
      </c>
      <c r="L124" s="37"/>
      <c r="M124" s="37"/>
      <c r="N124" s="37"/>
      <c r="O124" s="37"/>
      <c r="P124" s="37"/>
      <c r="Q124" s="32">
        <v>6104</v>
      </c>
    </row>
    <row r="125" spans="2:17" ht="15" hidden="1">
      <c r="B125" s="38">
        <v>1518000</v>
      </c>
      <c r="C125" s="38">
        <v>8000</v>
      </c>
      <c r="D125" s="127" t="s">
        <v>97</v>
      </c>
      <c r="E125" s="128"/>
      <c r="F125" s="32">
        <f t="shared" si="5"/>
        <v>350</v>
      </c>
      <c r="G125" s="37">
        <f>G126</f>
        <v>350</v>
      </c>
      <c r="H125" s="37">
        <f>H126</f>
        <v>0</v>
      </c>
      <c r="I125" s="37">
        <f>I126</f>
        <v>0</v>
      </c>
      <c r="J125" s="37">
        <f>J126</f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2">
        <v>350</v>
      </c>
    </row>
    <row r="126" spans="2:17" ht="30" hidden="1">
      <c r="B126" s="38">
        <v>1518600</v>
      </c>
      <c r="C126" s="38">
        <v>8600</v>
      </c>
      <c r="D126" s="35" t="s">
        <v>206</v>
      </c>
      <c r="E126" s="36" t="s">
        <v>96</v>
      </c>
      <c r="F126" s="32">
        <f t="shared" si="5"/>
        <v>350</v>
      </c>
      <c r="G126" s="37">
        <v>350</v>
      </c>
      <c r="H126" s="37"/>
      <c r="I126" s="37"/>
      <c r="J126" s="37"/>
      <c r="K126" s="37">
        <v>0</v>
      </c>
      <c r="L126" s="37"/>
      <c r="M126" s="37"/>
      <c r="N126" s="37"/>
      <c r="O126" s="37"/>
      <c r="P126" s="37"/>
      <c r="Q126" s="32">
        <v>350</v>
      </c>
    </row>
    <row r="127" spans="1:17" s="19" customFormat="1" ht="14.25" hidden="1">
      <c r="A127" s="14"/>
      <c r="B127" s="39" t="s">
        <v>110</v>
      </c>
      <c r="C127" s="152" t="s">
        <v>118</v>
      </c>
      <c r="D127" s="153"/>
      <c r="E127" s="154"/>
      <c r="F127" s="32">
        <f t="shared" si="5"/>
        <v>5626.383</v>
      </c>
      <c r="G127" s="32">
        <f>G128</f>
        <v>5626.383</v>
      </c>
      <c r="H127" s="32">
        <f aca="true" t="shared" si="6" ref="H127:J130">H128</f>
        <v>3187.1</v>
      </c>
      <c r="I127" s="32">
        <f t="shared" si="6"/>
        <v>483.083</v>
      </c>
      <c r="J127" s="32">
        <f t="shared" si="6"/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5626.383</v>
      </c>
    </row>
    <row r="128" spans="1:17" s="19" customFormat="1" ht="15" hidden="1">
      <c r="A128" s="14"/>
      <c r="B128" s="46" t="s">
        <v>111</v>
      </c>
      <c r="C128" s="155" t="s">
        <v>118</v>
      </c>
      <c r="D128" s="156"/>
      <c r="E128" s="157"/>
      <c r="F128" s="34">
        <f t="shared" si="5"/>
        <v>5626.383</v>
      </c>
      <c r="G128" s="34">
        <f>G129</f>
        <v>5626.383</v>
      </c>
      <c r="H128" s="34">
        <f t="shared" si="6"/>
        <v>3187.1</v>
      </c>
      <c r="I128" s="34">
        <f t="shared" si="6"/>
        <v>483.083</v>
      </c>
      <c r="J128" s="34">
        <f t="shared" si="6"/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5626.383</v>
      </c>
    </row>
    <row r="129" spans="2:17" ht="15" hidden="1">
      <c r="B129" s="38">
        <v>2013000</v>
      </c>
      <c r="C129" s="38" t="s">
        <v>80</v>
      </c>
      <c r="D129" s="142" t="s">
        <v>81</v>
      </c>
      <c r="E129" s="143"/>
      <c r="F129" s="32">
        <f t="shared" si="5"/>
        <v>5626.383</v>
      </c>
      <c r="G129" s="37">
        <f>G130</f>
        <v>5626.383</v>
      </c>
      <c r="H129" s="37">
        <f t="shared" si="6"/>
        <v>3187.1</v>
      </c>
      <c r="I129" s="37">
        <f t="shared" si="6"/>
        <v>483.083</v>
      </c>
      <c r="J129" s="37">
        <f t="shared" si="6"/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2">
        <v>5626.383</v>
      </c>
    </row>
    <row r="130" spans="2:17" ht="29.25" customHeight="1" hidden="1">
      <c r="B130" s="38" t="s">
        <v>112</v>
      </c>
      <c r="C130" s="38" t="s">
        <v>113</v>
      </c>
      <c r="D130" s="142" t="s">
        <v>85</v>
      </c>
      <c r="E130" s="143"/>
      <c r="F130" s="32">
        <f t="shared" si="5"/>
        <v>5626.383</v>
      </c>
      <c r="G130" s="37">
        <f>G131</f>
        <v>5626.383</v>
      </c>
      <c r="H130" s="37">
        <f t="shared" si="6"/>
        <v>3187.1</v>
      </c>
      <c r="I130" s="37">
        <f t="shared" si="6"/>
        <v>483.083</v>
      </c>
      <c r="J130" s="37">
        <f t="shared" si="6"/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2">
        <v>5626.383</v>
      </c>
    </row>
    <row r="131" spans="2:17" ht="48" customHeight="1" hidden="1">
      <c r="B131" s="38" t="s">
        <v>114</v>
      </c>
      <c r="C131" s="38" t="s">
        <v>115</v>
      </c>
      <c r="D131" s="35" t="s">
        <v>116</v>
      </c>
      <c r="E131" s="78" t="s">
        <v>117</v>
      </c>
      <c r="F131" s="32">
        <f t="shared" si="5"/>
        <v>5626.383</v>
      </c>
      <c r="G131" s="37">
        <v>5626.383</v>
      </c>
      <c r="H131" s="37">
        <v>3187.1</v>
      </c>
      <c r="I131" s="37">
        <v>483.083</v>
      </c>
      <c r="J131" s="37"/>
      <c r="K131" s="37">
        <v>0</v>
      </c>
      <c r="L131" s="37"/>
      <c r="M131" s="37"/>
      <c r="N131" s="37"/>
      <c r="O131" s="37"/>
      <c r="P131" s="37"/>
      <c r="Q131" s="32">
        <v>5626.383</v>
      </c>
    </row>
    <row r="132" spans="2:20" ht="15.75" customHeight="1" hidden="1">
      <c r="B132" s="39">
        <v>2400000</v>
      </c>
      <c r="C132" s="121" t="s">
        <v>127</v>
      </c>
      <c r="D132" s="122"/>
      <c r="E132" s="123"/>
      <c r="F132" s="100">
        <f t="shared" si="5"/>
        <v>117743.03</v>
      </c>
      <c r="G132" s="100">
        <f>G133</f>
        <v>117743.03</v>
      </c>
      <c r="H132" s="100">
        <f>H133</f>
        <v>52873.967000000004</v>
      </c>
      <c r="I132" s="100">
        <f>I133</f>
        <v>4483.896</v>
      </c>
      <c r="J132" s="100">
        <f>J133</f>
        <v>0</v>
      </c>
      <c r="K132" s="100">
        <v>2230.5</v>
      </c>
      <c r="L132" s="100">
        <v>270</v>
      </c>
      <c r="M132" s="100">
        <v>41.168</v>
      </c>
      <c r="N132" s="100">
        <v>28.471</v>
      </c>
      <c r="O132" s="100">
        <v>1960.5</v>
      </c>
      <c r="P132" s="100">
        <v>1960.5</v>
      </c>
      <c r="Q132" s="100">
        <v>119973.53</v>
      </c>
      <c r="S132" s="63">
        <f>S135+S141+S142+S146</f>
        <v>0</v>
      </c>
      <c r="T132" s="63"/>
    </row>
    <row r="133" spans="2:17" ht="17.25" customHeight="1" hidden="1">
      <c r="B133" s="46">
        <v>2410000</v>
      </c>
      <c r="C133" s="124" t="s">
        <v>127</v>
      </c>
      <c r="D133" s="125"/>
      <c r="E133" s="126"/>
      <c r="F133" s="107">
        <f t="shared" si="5"/>
        <v>117743.03</v>
      </c>
      <c r="G133" s="107">
        <f>G134+G137+G146</f>
        <v>117743.03</v>
      </c>
      <c r="H133" s="107">
        <f>H134+H137</f>
        <v>52873.967000000004</v>
      </c>
      <c r="I133" s="107">
        <f>I134+I137</f>
        <v>4483.896</v>
      </c>
      <c r="J133" s="107">
        <f>J134+J137</f>
        <v>0</v>
      </c>
      <c r="K133" s="107">
        <v>2230.5</v>
      </c>
      <c r="L133" s="107">
        <v>270</v>
      </c>
      <c r="M133" s="107">
        <v>41.168</v>
      </c>
      <c r="N133" s="107">
        <v>28.471</v>
      </c>
      <c r="O133" s="107">
        <v>1960.5</v>
      </c>
      <c r="P133" s="107">
        <v>1960.5</v>
      </c>
      <c r="Q133" s="107">
        <v>119973.53</v>
      </c>
    </row>
    <row r="134" spans="2:17" ht="15" hidden="1">
      <c r="B134" s="39">
        <v>2411000</v>
      </c>
      <c r="C134" s="38">
        <v>1000</v>
      </c>
      <c r="D134" s="99"/>
      <c r="E134" s="101" t="s">
        <v>21</v>
      </c>
      <c r="F134" s="100">
        <f t="shared" si="5"/>
        <v>44937.738</v>
      </c>
      <c r="G134" s="100">
        <f>G135+G136</f>
        <v>44937.738</v>
      </c>
      <c r="H134" s="100">
        <f>H135+H136</f>
        <v>27831.865</v>
      </c>
      <c r="I134" s="100">
        <f>I135+I136</f>
        <v>2505.439</v>
      </c>
      <c r="J134" s="100">
        <f>J135+J136</f>
        <v>0</v>
      </c>
      <c r="K134" s="100">
        <v>1090</v>
      </c>
      <c r="L134" s="100">
        <v>150</v>
      </c>
      <c r="M134" s="100">
        <v>41.168</v>
      </c>
      <c r="N134" s="100">
        <v>28.471</v>
      </c>
      <c r="O134" s="100">
        <v>940</v>
      </c>
      <c r="P134" s="100">
        <v>940</v>
      </c>
      <c r="Q134" s="100">
        <v>46027.738</v>
      </c>
    </row>
    <row r="135" spans="1:20" s="18" customFormat="1" ht="47.25" hidden="1">
      <c r="A135" s="9"/>
      <c r="B135" s="38">
        <v>2411120</v>
      </c>
      <c r="C135" s="38">
        <v>1120</v>
      </c>
      <c r="D135" s="35" t="s">
        <v>61</v>
      </c>
      <c r="E135" s="79" t="s">
        <v>23</v>
      </c>
      <c r="F135" s="52">
        <f t="shared" si="5"/>
        <v>42473.648</v>
      </c>
      <c r="G135" s="53">
        <f>42233.648+240</f>
        <v>42473.648</v>
      </c>
      <c r="H135" s="53">
        <v>26109.203</v>
      </c>
      <c r="I135" s="53">
        <v>2298.792</v>
      </c>
      <c r="J135" s="53"/>
      <c r="K135" s="52">
        <v>940</v>
      </c>
      <c r="L135" s="53"/>
      <c r="M135" s="53"/>
      <c r="N135" s="53"/>
      <c r="O135" s="53">
        <v>940</v>
      </c>
      <c r="P135" s="53">
        <v>940</v>
      </c>
      <c r="Q135" s="52">
        <v>43413.648</v>
      </c>
      <c r="S135" s="90"/>
      <c r="T135" s="90"/>
    </row>
    <row r="136" spans="1:17" s="18" customFormat="1" ht="94.5" hidden="1">
      <c r="A136" s="9"/>
      <c r="B136" s="38">
        <v>2411140</v>
      </c>
      <c r="C136" s="38">
        <v>1140</v>
      </c>
      <c r="D136" s="35" t="s">
        <v>62</v>
      </c>
      <c r="E136" s="79" t="s">
        <v>119</v>
      </c>
      <c r="F136" s="52">
        <f t="shared" si="5"/>
        <v>2464.09</v>
      </c>
      <c r="G136" s="53">
        <v>2464.09</v>
      </c>
      <c r="H136" s="53">
        <v>1722.662</v>
      </c>
      <c r="I136" s="53">
        <v>206.647</v>
      </c>
      <c r="J136" s="53"/>
      <c r="K136" s="53">
        <v>150</v>
      </c>
      <c r="L136" s="53">
        <v>150</v>
      </c>
      <c r="M136" s="53">
        <v>41.168</v>
      </c>
      <c r="N136" s="53">
        <v>28.471</v>
      </c>
      <c r="O136" s="53"/>
      <c r="P136" s="53"/>
      <c r="Q136" s="52">
        <v>2614.09</v>
      </c>
    </row>
    <row r="137" spans="2:17" ht="15" hidden="1">
      <c r="B137" s="39">
        <v>2414000</v>
      </c>
      <c r="C137" s="38">
        <v>4000</v>
      </c>
      <c r="D137" s="144" t="s">
        <v>58</v>
      </c>
      <c r="E137" s="145"/>
      <c r="F137" s="52">
        <f t="shared" si="5"/>
        <v>72458.492</v>
      </c>
      <c r="G137" s="52">
        <f>G138+G139+G140+G141+G142+G143+G144+G145</f>
        <v>72458.492</v>
      </c>
      <c r="H137" s="52">
        <f>H138+H139+H140+H141+H142+H143+H144+H145</f>
        <v>25042.102</v>
      </c>
      <c r="I137" s="52">
        <f>I138+I139+I140+I141+I142+I143+I144+I145</f>
        <v>1978.4569999999999</v>
      </c>
      <c r="J137" s="52">
        <f>J138+J139+J140+J141+J142+J143+J144+J145</f>
        <v>0</v>
      </c>
      <c r="K137" s="52">
        <v>1140.5</v>
      </c>
      <c r="L137" s="52">
        <v>120</v>
      </c>
      <c r="M137" s="52">
        <v>0</v>
      </c>
      <c r="N137" s="52">
        <v>0</v>
      </c>
      <c r="O137" s="52">
        <v>1020.5</v>
      </c>
      <c r="P137" s="52">
        <v>1020.5</v>
      </c>
      <c r="Q137" s="52">
        <v>73598.992</v>
      </c>
    </row>
    <row r="138" spans="1:17" s="18" customFormat="1" ht="30" hidden="1">
      <c r="A138" s="9"/>
      <c r="B138" s="38">
        <v>2414010</v>
      </c>
      <c r="C138" s="38">
        <v>4010</v>
      </c>
      <c r="D138" s="54" t="s">
        <v>128</v>
      </c>
      <c r="E138" s="80" t="s">
        <v>120</v>
      </c>
      <c r="F138" s="51">
        <f t="shared" si="5"/>
        <v>108</v>
      </c>
      <c r="G138" s="55">
        <v>108</v>
      </c>
      <c r="H138" s="55"/>
      <c r="I138" s="55"/>
      <c r="J138" s="55"/>
      <c r="K138" s="55">
        <v>0</v>
      </c>
      <c r="L138" s="55"/>
      <c r="M138" s="55"/>
      <c r="N138" s="55"/>
      <c r="O138" s="55"/>
      <c r="P138" s="55"/>
      <c r="Q138" s="51">
        <v>108</v>
      </c>
    </row>
    <row r="139" spans="1:17" s="18" customFormat="1" ht="30" hidden="1">
      <c r="A139" s="9"/>
      <c r="B139" s="38">
        <v>2414020</v>
      </c>
      <c r="C139" s="38">
        <v>4020</v>
      </c>
      <c r="D139" s="54" t="s">
        <v>129</v>
      </c>
      <c r="E139" s="80" t="s">
        <v>121</v>
      </c>
      <c r="F139" s="51">
        <f t="shared" si="5"/>
        <v>18918.579</v>
      </c>
      <c r="G139" s="55">
        <v>18918.579</v>
      </c>
      <c r="H139" s="55"/>
      <c r="I139" s="55"/>
      <c r="J139" s="55"/>
      <c r="K139" s="55">
        <v>0</v>
      </c>
      <c r="L139" s="55"/>
      <c r="M139" s="55"/>
      <c r="N139" s="55"/>
      <c r="O139" s="55"/>
      <c r="P139" s="55"/>
      <c r="Q139" s="51">
        <v>18918.579</v>
      </c>
    </row>
    <row r="140" spans="1:17" s="18" customFormat="1" ht="45" hidden="1">
      <c r="A140" s="9"/>
      <c r="B140" s="38">
        <v>2414030</v>
      </c>
      <c r="C140" s="38">
        <v>4030</v>
      </c>
      <c r="D140" s="54" t="s">
        <v>130</v>
      </c>
      <c r="E140" s="80" t="s">
        <v>122</v>
      </c>
      <c r="F140" s="51">
        <f t="shared" si="5"/>
        <v>13444.051</v>
      </c>
      <c r="G140" s="55">
        <v>13444.051</v>
      </c>
      <c r="H140" s="55"/>
      <c r="I140" s="55"/>
      <c r="J140" s="55"/>
      <c r="K140" s="55">
        <v>0</v>
      </c>
      <c r="L140" s="55"/>
      <c r="M140" s="55"/>
      <c r="N140" s="55"/>
      <c r="O140" s="55"/>
      <c r="P140" s="55"/>
      <c r="Q140" s="51">
        <v>13444.051</v>
      </c>
    </row>
    <row r="141" spans="1:20" s="18" customFormat="1" ht="30" hidden="1">
      <c r="A141" s="9"/>
      <c r="B141" s="38">
        <v>2414060</v>
      </c>
      <c r="C141" s="38">
        <v>4060</v>
      </c>
      <c r="D141" s="54" t="s">
        <v>76</v>
      </c>
      <c r="E141" s="80" t="s">
        <v>60</v>
      </c>
      <c r="F141" s="51">
        <f t="shared" si="5"/>
        <v>19838.836</v>
      </c>
      <c r="G141" s="55">
        <f>19815.636+225.7-185-17.5</f>
        <v>19838.836</v>
      </c>
      <c r="H141" s="55">
        <f>13880.319-185</f>
        <v>13695.319</v>
      </c>
      <c r="I141" s="55">
        <v>972.473</v>
      </c>
      <c r="J141" s="55"/>
      <c r="K141" s="51">
        <v>1020.5</v>
      </c>
      <c r="L141" s="55"/>
      <c r="M141" s="55"/>
      <c r="N141" s="55"/>
      <c r="O141" s="55">
        <v>1020.5</v>
      </c>
      <c r="P141" s="55">
        <v>1020.5</v>
      </c>
      <c r="Q141" s="51">
        <v>20859.336</v>
      </c>
      <c r="S141" s="61"/>
      <c r="T141" s="61"/>
    </row>
    <row r="142" spans="1:20" s="18" customFormat="1" ht="30" hidden="1">
      <c r="A142" s="9"/>
      <c r="B142" s="38">
        <v>2414070</v>
      </c>
      <c r="C142" s="38">
        <v>4070</v>
      </c>
      <c r="D142" s="54" t="s">
        <v>131</v>
      </c>
      <c r="E142" s="80" t="s">
        <v>123</v>
      </c>
      <c r="F142" s="51">
        <f t="shared" si="5"/>
        <v>14703.302</v>
      </c>
      <c r="G142" s="55">
        <f>14653.802+49.5</f>
        <v>14703.302</v>
      </c>
      <c r="H142" s="55">
        <f>8905.523</f>
        <v>8905.523</v>
      </c>
      <c r="I142" s="55">
        <v>921.768</v>
      </c>
      <c r="J142" s="55"/>
      <c r="K142" s="51">
        <v>0</v>
      </c>
      <c r="L142" s="55"/>
      <c r="M142" s="55"/>
      <c r="N142" s="55"/>
      <c r="O142" s="55"/>
      <c r="P142" s="55"/>
      <c r="Q142" s="51">
        <v>14703.302</v>
      </c>
      <c r="S142" s="61"/>
      <c r="T142" s="61"/>
    </row>
    <row r="143" spans="1:17" s="18" customFormat="1" ht="30" hidden="1">
      <c r="A143" s="9"/>
      <c r="B143" s="38">
        <v>2414080</v>
      </c>
      <c r="C143" s="38">
        <v>4080</v>
      </c>
      <c r="D143" s="54" t="s">
        <v>132</v>
      </c>
      <c r="E143" s="80" t="s">
        <v>124</v>
      </c>
      <c r="F143" s="51">
        <f t="shared" si="5"/>
        <v>942.635</v>
      </c>
      <c r="G143" s="55">
        <v>942.635</v>
      </c>
      <c r="H143" s="55">
        <v>712.93</v>
      </c>
      <c r="I143" s="55">
        <v>18.6</v>
      </c>
      <c r="J143" s="55"/>
      <c r="K143" s="55">
        <v>120</v>
      </c>
      <c r="L143" s="55">
        <v>120</v>
      </c>
      <c r="M143" s="55">
        <v>0</v>
      </c>
      <c r="N143" s="55">
        <v>0</v>
      </c>
      <c r="O143" s="55"/>
      <c r="P143" s="55"/>
      <c r="Q143" s="51">
        <v>1062.635</v>
      </c>
    </row>
    <row r="144" spans="1:17" s="18" customFormat="1" ht="30" hidden="1">
      <c r="A144" s="9"/>
      <c r="B144" s="38">
        <v>2414110</v>
      </c>
      <c r="C144" s="38">
        <v>4110</v>
      </c>
      <c r="D144" s="54" t="s">
        <v>133</v>
      </c>
      <c r="E144" s="80" t="s">
        <v>125</v>
      </c>
      <c r="F144" s="51">
        <f t="shared" si="5"/>
        <v>705.0500000000002</v>
      </c>
      <c r="G144" s="55">
        <f>2505.05-1800</f>
        <v>705.0500000000002</v>
      </c>
      <c r="H144" s="55"/>
      <c r="I144" s="55"/>
      <c r="J144" s="55"/>
      <c r="K144" s="55">
        <v>0</v>
      </c>
      <c r="L144" s="55"/>
      <c r="M144" s="55"/>
      <c r="N144" s="55"/>
      <c r="O144" s="55"/>
      <c r="P144" s="55"/>
      <c r="Q144" s="51">
        <v>705.05</v>
      </c>
    </row>
    <row r="145" spans="1:17" s="18" customFormat="1" ht="30" hidden="1">
      <c r="A145" s="9"/>
      <c r="B145" s="38">
        <v>2414200</v>
      </c>
      <c r="C145" s="38">
        <v>4200</v>
      </c>
      <c r="D145" s="54" t="s">
        <v>134</v>
      </c>
      <c r="E145" s="80" t="s">
        <v>126</v>
      </c>
      <c r="F145" s="51">
        <f t="shared" si="5"/>
        <v>3798.039</v>
      </c>
      <c r="G145" s="55">
        <v>3798.039</v>
      </c>
      <c r="H145" s="55">
        <v>1728.33</v>
      </c>
      <c r="I145" s="55">
        <v>65.616</v>
      </c>
      <c r="J145" s="55"/>
      <c r="K145" s="55">
        <v>0</v>
      </c>
      <c r="L145" s="55"/>
      <c r="M145" s="55"/>
      <c r="N145" s="55"/>
      <c r="O145" s="55"/>
      <c r="P145" s="55"/>
      <c r="Q145" s="51">
        <v>3798.039</v>
      </c>
    </row>
    <row r="146" spans="1:19" s="18" customFormat="1" ht="30" hidden="1">
      <c r="A146" s="9"/>
      <c r="B146" s="38">
        <v>2418600</v>
      </c>
      <c r="C146" s="38">
        <v>8600</v>
      </c>
      <c r="D146" s="35" t="s">
        <v>206</v>
      </c>
      <c r="E146" s="36" t="s">
        <v>96</v>
      </c>
      <c r="F146" s="51">
        <f t="shared" si="5"/>
        <v>346.79999999999995</v>
      </c>
      <c r="G146" s="55">
        <f>1800-1013.7-240-120-30-49.5</f>
        <v>346.79999999999995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1">
        <v>346.8</v>
      </c>
      <c r="S146" s="61"/>
    </row>
    <row r="147" spans="1:17" s="19" customFormat="1" ht="30" customHeight="1" hidden="1">
      <c r="A147" s="14"/>
      <c r="B147" s="39">
        <v>2700000</v>
      </c>
      <c r="C147" s="121" t="s">
        <v>248</v>
      </c>
      <c r="D147" s="122"/>
      <c r="E147" s="123"/>
      <c r="F147" s="32">
        <f t="shared" si="5"/>
        <v>619</v>
      </c>
      <c r="G147" s="32">
        <f>G148</f>
        <v>619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619</v>
      </c>
    </row>
    <row r="148" spans="1:17" s="19" customFormat="1" ht="15" hidden="1">
      <c r="A148" s="14"/>
      <c r="B148" s="46">
        <v>2710000</v>
      </c>
      <c r="C148" s="124" t="s">
        <v>248</v>
      </c>
      <c r="D148" s="125"/>
      <c r="E148" s="126"/>
      <c r="F148" s="34">
        <f aca="true" t="shared" si="7" ref="F148:F255">G148+J148</f>
        <v>619</v>
      </c>
      <c r="G148" s="34">
        <f>G149</f>
        <v>619</v>
      </c>
      <c r="H148" s="34"/>
      <c r="I148" s="34"/>
      <c r="J148" s="34"/>
      <c r="K148" s="34">
        <v>0</v>
      </c>
      <c r="L148" s="34"/>
      <c r="M148" s="34"/>
      <c r="N148" s="34"/>
      <c r="O148" s="34"/>
      <c r="P148" s="34"/>
      <c r="Q148" s="34">
        <v>619</v>
      </c>
    </row>
    <row r="149" spans="1:17" s="19" customFormat="1" ht="25.5" customHeight="1" hidden="1">
      <c r="A149" s="14"/>
      <c r="B149" s="39">
        <v>2718000</v>
      </c>
      <c r="C149" s="39">
        <v>8000</v>
      </c>
      <c r="D149" s="121" t="s">
        <v>97</v>
      </c>
      <c r="E149" s="123"/>
      <c r="F149" s="32">
        <f t="shared" si="7"/>
        <v>619</v>
      </c>
      <c r="G149" s="32">
        <f>G150</f>
        <v>619</v>
      </c>
      <c r="H149" s="32">
        <f>H150</f>
        <v>0</v>
      </c>
      <c r="I149" s="32">
        <f>I150</f>
        <v>0</v>
      </c>
      <c r="J149" s="32">
        <f>J150</f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619</v>
      </c>
    </row>
    <row r="150" spans="1:17" s="18" customFormat="1" ht="32.25" customHeight="1" hidden="1">
      <c r="A150" s="9"/>
      <c r="B150" s="38" t="s">
        <v>209</v>
      </c>
      <c r="C150" s="38">
        <v>4200</v>
      </c>
      <c r="D150" s="35" t="s">
        <v>134</v>
      </c>
      <c r="E150" s="36" t="s">
        <v>210</v>
      </c>
      <c r="F150" s="32">
        <f t="shared" si="7"/>
        <v>619</v>
      </c>
      <c r="G150" s="37">
        <f>G151+G152</f>
        <v>619</v>
      </c>
      <c r="H150" s="37"/>
      <c r="I150" s="37"/>
      <c r="J150" s="37"/>
      <c r="K150" s="37">
        <v>0</v>
      </c>
      <c r="L150" s="37"/>
      <c r="M150" s="37"/>
      <c r="N150" s="37"/>
      <c r="O150" s="37"/>
      <c r="P150" s="37"/>
      <c r="Q150" s="32">
        <v>619</v>
      </c>
    </row>
    <row r="151" spans="1:17" s="20" customFormat="1" ht="56.25" customHeight="1" hidden="1">
      <c r="A151" s="47"/>
      <c r="B151" s="40" t="s">
        <v>211</v>
      </c>
      <c r="C151" s="40">
        <v>4201</v>
      </c>
      <c r="D151" s="41" t="s">
        <v>134</v>
      </c>
      <c r="E151" s="42" t="s">
        <v>249</v>
      </c>
      <c r="F151" s="43">
        <f t="shared" si="7"/>
        <v>529</v>
      </c>
      <c r="G151" s="44">
        <v>529</v>
      </c>
      <c r="H151" s="44"/>
      <c r="I151" s="44"/>
      <c r="J151" s="44"/>
      <c r="K151" s="44">
        <v>0</v>
      </c>
      <c r="L151" s="44"/>
      <c r="M151" s="44"/>
      <c r="N151" s="44"/>
      <c r="O151" s="44"/>
      <c r="P151" s="44"/>
      <c r="Q151" s="43">
        <v>529</v>
      </c>
    </row>
    <row r="152" spans="1:17" s="20" customFormat="1" ht="43.5" customHeight="1" hidden="1">
      <c r="A152" s="47"/>
      <c r="B152" s="40" t="s">
        <v>212</v>
      </c>
      <c r="C152" s="40">
        <v>4201</v>
      </c>
      <c r="D152" s="41" t="s">
        <v>134</v>
      </c>
      <c r="E152" s="42" t="s">
        <v>213</v>
      </c>
      <c r="F152" s="43">
        <f t="shared" si="7"/>
        <v>90</v>
      </c>
      <c r="G152" s="44">
        <v>90</v>
      </c>
      <c r="H152" s="44"/>
      <c r="I152" s="44"/>
      <c r="J152" s="44"/>
      <c r="K152" s="44">
        <v>0</v>
      </c>
      <c r="L152" s="44"/>
      <c r="M152" s="44"/>
      <c r="N152" s="44"/>
      <c r="O152" s="44"/>
      <c r="P152" s="44"/>
      <c r="Q152" s="43">
        <v>90</v>
      </c>
    </row>
    <row r="153" spans="2:17" ht="30.75" customHeight="1" hidden="1">
      <c r="B153" s="39">
        <v>3000000</v>
      </c>
      <c r="C153" s="121" t="s">
        <v>250</v>
      </c>
      <c r="D153" s="122"/>
      <c r="E153" s="123"/>
      <c r="F153" s="62">
        <f t="shared" si="7"/>
        <v>5113.1</v>
      </c>
      <c r="G153" s="62">
        <f>G154</f>
        <v>5113.1</v>
      </c>
      <c r="H153" s="62">
        <f>H154</f>
        <v>0</v>
      </c>
      <c r="I153" s="62">
        <f>I154</f>
        <v>0</v>
      </c>
      <c r="J153" s="62">
        <f>J154</f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5113.1</v>
      </c>
    </row>
    <row r="154" spans="2:17" ht="32.25" customHeight="1" hidden="1">
      <c r="B154" s="46">
        <v>3010000</v>
      </c>
      <c r="C154" s="124" t="s">
        <v>250</v>
      </c>
      <c r="D154" s="125"/>
      <c r="E154" s="126"/>
      <c r="F154" s="81">
        <f t="shared" si="7"/>
        <v>5113.1</v>
      </c>
      <c r="G154" s="81">
        <f>G155+G162</f>
        <v>5113.1</v>
      </c>
      <c r="H154" s="81">
        <f>H155+H162</f>
        <v>0</v>
      </c>
      <c r="I154" s="81">
        <f>I155+I162</f>
        <v>0</v>
      </c>
      <c r="J154" s="81">
        <f>J155+J162</f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81">
        <v>0</v>
      </c>
      <c r="Q154" s="81">
        <v>5113.1</v>
      </c>
    </row>
    <row r="155" spans="2:17" ht="15" hidden="1">
      <c r="B155" s="39">
        <v>3017200</v>
      </c>
      <c r="C155" s="38">
        <v>7200</v>
      </c>
      <c r="D155" s="121" t="s">
        <v>260</v>
      </c>
      <c r="E155" s="123"/>
      <c r="F155" s="32">
        <f t="shared" si="7"/>
        <v>2982.6000000000004</v>
      </c>
      <c r="G155" s="32">
        <f>G156</f>
        <v>2982.6000000000004</v>
      </c>
      <c r="H155" s="32">
        <f>H156+H157+H158+H159+H161</f>
        <v>0</v>
      </c>
      <c r="I155" s="32">
        <f>I156+I157+I158+I159+I161</f>
        <v>0</v>
      </c>
      <c r="J155" s="32">
        <f>J156+J157+J158+J159+J161</f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2982.6</v>
      </c>
    </row>
    <row r="156" spans="1:17" s="18" customFormat="1" ht="28.5" hidden="1">
      <c r="A156" s="9"/>
      <c r="B156" s="39" t="s">
        <v>214</v>
      </c>
      <c r="C156" s="31" t="s">
        <v>256</v>
      </c>
      <c r="D156" s="31" t="s">
        <v>251</v>
      </c>
      <c r="E156" s="77" t="s">
        <v>215</v>
      </c>
      <c r="F156" s="32">
        <f t="shared" si="7"/>
        <v>2982.6000000000004</v>
      </c>
      <c r="G156" s="32">
        <f>G157+G158+G159+G161</f>
        <v>2982.6000000000004</v>
      </c>
      <c r="H156" s="32"/>
      <c r="I156" s="32"/>
      <c r="J156" s="32"/>
      <c r="K156" s="32">
        <v>0</v>
      </c>
      <c r="L156" s="32"/>
      <c r="M156" s="32"/>
      <c r="N156" s="32"/>
      <c r="O156" s="32"/>
      <c r="P156" s="32"/>
      <c r="Q156" s="32">
        <v>2982.6</v>
      </c>
    </row>
    <row r="157" spans="1:17" s="18" customFormat="1" ht="30" hidden="1">
      <c r="A157" s="9"/>
      <c r="B157" s="39" t="s">
        <v>216</v>
      </c>
      <c r="C157" s="35" t="s">
        <v>257</v>
      </c>
      <c r="D157" s="35" t="s">
        <v>252</v>
      </c>
      <c r="E157" s="36" t="s">
        <v>217</v>
      </c>
      <c r="F157" s="32">
        <f t="shared" si="7"/>
        <v>200</v>
      </c>
      <c r="G157" s="37">
        <v>200</v>
      </c>
      <c r="H157" s="32"/>
      <c r="I157" s="32"/>
      <c r="J157" s="32"/>
      <c r="K157" s="32">
        <v>0</v>
      </c>
      <c r="L157" s="32"/>
      <c r="M157" s="32"/>
      <c r="N157" s="32"/>
      <c r="O157" s="32"/>
      <c r="P157" s="32"/>
      <c r="Q157" s="32">
        <v>200</v>
      </c>
    </row>
    <row r="158" spans="1:17" s="18" customFormat="1" ht="30" hidden="1">
      <c r="A158" s="9"/>
      <c r="B158" s="39" t="s">
        <v>218</v>
      </c>
      <c r="C158" s="35" t="s">
        <v>258</v>
      </c>
      <c r="D158" s="35" t="s">
        <v>253</v>
      </c>
      <c r="E158" s="36" t="s">
        <v>219</v>
      </c>
      <c r="F158" s="32">
        <f t="shared" si="7"/>
        <v>892.2</v>
      </c>
      <c r="G158" s="37">
        <v>892.2</v>
      </c>
      <c r="H158" s="32"/>
      <c r="I158" s="32"/>
      <c r="J158" s="32"/>
      <c r="K158" s="32">
        <v>0</v>
      </c>
      <c r="L158" s="32"/>
      <c r="M158" s="32"/>
      <c r="N158" s="32"/>
      <c r="O158" s="32"/>
      <c r="P158" s="32"/>
      <c r="Q158" s="32">
        <v>892.2</v>
      </c>
    </row>
    <row r="159" spans="1:17" s="18" customFormat="1" ht="30" hidden="1">
      <c r="A159" s="9"/>
      <c r="B159" s="39" t="s">
        <v>220</v>
      </c>
      <c r="C159" s="35" t="s">
        <v>259</v>
      </c>
      <c r="D159" s="35" t="s">
        <v>254</v>
      </c>
      <c r="E159" s="36" t="s">
        <v>221</v>
      </c>
      <c r="F159" s="32">
        <f t="shared" si="7"/>
        <v>1690.4</v>
      </c>
      <c r="G159" s="37">
        <v>1690.4</v>
      </c>
      <c r="H159" s="32"/>
      <c r="I159" s="32"/>
      <c r="J159" s="32"/>
      <c r="K159" s="32">
        <v>0</v>
      </c>
      <c r="L159" s="32"/>
      <c r="M159" s="32"/>
      <c r="N159" s="32"/>
      <c r="O159" s="32"/>
      <c r="P159" s="32"/>
      <c r="Q159" s="32">
        <v>1690.4</v>
      </c>
    </row>
    <row r="160" spans="1:17" s="18" customFormat="1" ht="15" hidden="1">
      <c r="A160" s="9"/>
      <c r="B160" s="39"/>
      <c r="C160" s="38"/>
      <c r="D160" s="35"/>
      <c r="E160" s="36"/>
      <c r="F160" s="32">
        <f t="shared" si="7"/>
        <v>0</v>
      </c>
      <c r="G160" s="37"/>
      <c r="H160" s="32"/>
      <c r="I160" s="32"/>
      <c r="J160" s="32"/>
      <c r="K160" s="32">
        <v>0</v>
      </c>
      <c r="L160" s="32"/>
      <c r="M160" s="32"/>
      <c r="N160" s="32"/>
      <c r="O160" s="32"/>
      <c r="P160" s="32"/>
      <c r="Q160" s="32">
        <v>0</v>
      </c>
    </row>
    <row r="161" spans="1:17" s="18" customFormat="1" ht="60" hidden="1">
      <c r="A161" s="9"/>
      <c r="B161" s="39" t="s">
        <v>222</v>
      </c>
      <c r="C161" s="38">
        <v>7214</v>
      </c>
      <c r="D161" s="35" t="s">
        <v>255</v>
      </c>
      <c r="E161" s="36" t="s">
        <v>223</v>
      </c>
      <c r="F161" s="32">
        <f t="shared" si="7"/>
        <v>200</v>
      </c>
      <c r="G161" s="37">
        <v>200</v>
      </c>
      <c r="H161" s="32"/>
      <c r="I161" s="32"/>
      <c r="J161" s="32"/>
      <c r="K161" s="32">
        <v>0</v>
      </c>
      <c r="L161" s="32"/>
      <c r="M161" s="32"/>
      <c r="N161" s="32"/>
      <c r="O161" s="32"/>
      <c r="P161" s="32"/>
      <c r="Q161" s="32">
        <v>200</v>
      </c>
    </row>
    <row r="162" spans="1:17" s="18" customFormat="1" ht="15" hidden="1">
      <c r="A162" s="9"/>
      <c r="B162" s="39"/>
      <c r="C162" s="38">
        <v>8000</v>
      </c>
      <c r="D162" s="121" t="s">
        <v>97</v>
      </c>
      <c r="E162" s="123"/>
      <c r="F162" s="32">
        <f t="shared" si="7"/>
        <v>2130.5</v>
      </c>
      <c r="G162" s="32">
        <f>G163</f>
        <v>2130.5</v>
      </c>
      <c r="H162" s="32"/>
      <c r="I162" s="32"/>
      <c r="J162" s="32"/>
      <c r="K162" s="32">
        <v>0</v>
      </c>
      <c r="L162" s="32"/>
      <c r="M162" s="32"/>
      <c r="N162" s="32"/>
      <c r="O162" s="32"/>
      <c r="P162" s="32"/>
      <c r="Q162" s="32">
        <v>2130.5</v>
      </c>
    </row>
    <row r="163" spans="1:17" s="18" customFormat="1" ht="30" hidden="1">
      <c r="A163" s="9"/>
      <c r="B163" s="38" t="s">
        <v>224</v>
      </c>
      <c r="C163" s="38">
        <v>8600</v>
      </c>
      <c r="D163" s="35" t="s">
        <v>206</v>
      </c>
      <c r="E163" s="36" t="s">
        <v>96</v>
      </c>
      <c r="F163" s="32">
        <f t="shared" si="7"/>
        <v>2130.5</v>
      </c>
      <c r="G163" s="37">
        <v>2130.5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2130.5</v>
      </c>
    </row>
    <row r="164" spans="1:17" s="18" customFormat="1" ht="40.5" customHeight="1" hidden="1">
      <c r="A164" s="9"/>
      <c r="B164" s="146" t="s">
        <v>389</v>
      </c>
      <c r="C164" s="147"/>
      <c r="D164" s="147"/>
      <c r="E164" s="148"/>
      <c r="F164" s="43">
        <f t="shared" si="7"/>
        <v>50</v>
      </c>
      <c r="G164" s="44">
        <v>50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>
        <v>50</v>
      </c>
    </row>
    <row r="165" spans="1:17" s="18" customFormat="1" ht="48" hidden="1">
      <c r="A165" s="9"/>
      <c r="B165" s="45" t="s">
        <v>225</v>
      </c>
      <c r="C165" s="40">
        <v>8601</v>
      </c>
      <c r="D165" s="41" t="s">
        <v>206</v>
      </c>
      <c r="E165" s="42" t="s">
        <v>226</v>
      </c>
      <c r="F165" s="43">
        <f t="shared" si="7"/>
        <v>2070.5</v>
      </c>
      <c r="G165" s="43">
        <v>2070.5</v>
      </c>
      <c r="H165" s="43"/>
      <c r="I165" s="43"/>
      <c r="J165" s="43"/>
      <c r="K165" s="43">
        <v>0</v>
      </c>
      <c r="L165" s="43"/>
      <c r="M165" s="43"/>
      <c r="N165" s="43"/>
      <c r="O165" s="43"/>
      <c r="P165" s="43"/>
      <c r="Q165" s="43">
        <v>2070.5</v>
      </c>
    </row>
    <row r="166" spans="1:17" s="20" customFormat="1" ht="26.25" customHeight="1" hidden="1">
      <c r="A166" s="47"/>
      <c r="B166" s="45"/>
      <c r="C166" s="40"/>
      <c r="D166" s="41"/>
      <c r="E166" s="42" t="s">
        <v>227</v>
      </c>
      <c r="F166" s="43">
        <f t="shared" si="7"/>
        <v>1545.5</v>
      </c>
      <c r="G166" s="43">
        <v>1545.5</v>
      </c>
      <c r="H166" s="43"/>
      <c r="I166" s="43"/>
      <c r="J166" s="43"/>
      <c r="K166" s="43">
        <v>0</v>
      </c>
      <c r="L166" s="43"/>
      <c r="M166" s="43"/>
      <c r="N166" s="43"/>
      <c r="O166" s="43"/>
      <c r="P166" s="43"/>
      <c r="Q166" s="43">
        <v>1545.5</v>
      </c>
    </row>
    <row r="167" spans="1:17" s="18" customFormat="1" ht="47.25" customHeight="1" hidden="1">
      <c r="A167" s="9"/>
      <c r="B167" s="45" t="s">
        <v>228</v>
      </c>
      <c r="C167" s="40">
        <v>8601</v>
      </c>
      <c r="D167" s="41" t="s">
        <v>206</v>
      </c>
      <c r="E167" s="42" t="s">
        <v>213</v>
      </c>
      <c r="F167" s="43">
        <f t="shared" si="7"/>
        <v>60</v>
      </c>
      <c r="G167" s="43">
        <v>60</v>
      </c>
      <c r="H167" s="43"/>
      <c r="I167" s="43"/>
      <c r="J167" s="43"/>
      <c r="K167" s="43">
        <v>0</v>
      </c>
      <c r="L167" s="43"/>
      <c r="M167" s="43"/>
      <c r="N167" s="43"/>
      <c r="O167" s="43"/>
      <c r="P167" s="43"/>
      <c r="Q167" s="43">
        <v>60</v>
      </c>
    </row>
    <row r="168" spans="2:20" ht="27.75" customHeight="1">
      <c r="B168" s="39">
        <v>4000000</v>
      </c>
      <c r="C168" s="121" t="s">
        <v>309</v>
      </c>
      <c r="D168" s="122"/>
      <c r="E168" s="123"/>
      <c r="F168" s="62">
        <f t="shared" si="7"/>
        <v>3000</v>
      </c>
      <c r="G168" s="62">
        <f>G169</f>
        <v>3000</v>
      </c>
      <c r="H168" s="62">
        <f>H169</f>
        <v>0</v>
      </c>
      <c r="I168" s="62">
        <f>I169</f>
        <v>0</v>
      </c>
      <c r="J168" s="62">
        <f>J169</f>
        <v>0</v>
      </c>
      <c r="K168" s="62">
        <v>3200</v>
      </c>
      <c r="L168" s="62">
        <v>3200</v>
      </c>
      <c r="M168" s="62">
        <v>1855</v>
      </c>
      <c r="N168" s="62">
        <v>92</v>
      </c>
      <c r="O168" s="62">
        <v>0</v>
      </c>
      <c r="P168" s="62">
        <v>0</v>
      </c>
      <c r="Q168" s="62">
        <v>6200</v>
      </c>
      <c r="T168" s="63"/>
    </row>
    <row r="169" spans="2:17" ht="32.25" customHeight="1">
      <c r="B169" s="46">
        <v>4010000</v>
      </c>
      <c r="C169" s="124" t="s">
        <v>309</v>
      </c>
      <c r="D169" s="125"/>
      <c r="E169" s="126"/>
      <c r="F169" s="81">
        <f t="shared" si="7"/>
        <v>3000</v>
      </c>
      <c r="G169" s="81">
        <f>G170+G173</f>
        <v>3000</v>
      </c>
      <c r="H169" s="81">
        <f>H170+H173</f>
        <v>0</v>
      </c>
      <c r="I169" s="81">
        <f>I170+I173</f>
        <v>0</v>
      </c>
      <c r="J169" s="81">
        <f>J170+J173</f>
        <v>0</v>
      </c>
      <c r="K169" s="81">
        <v>3200</v>
      </c>
      <c r="L169" s="81">
        <v>3200</v>
      </c>
      <c r="M169" s="81">
        <v>1855</v>
      </c>
      <c r="N169" s="81">
        <v>92</v>
      </c>
      <c r="O169" s="81">
        <v>0</v>
      </c>
      <c r="P169" s="81">
        <v>0</v>
      </c>
      <c r="Q169" s="81">
        <v>6200</v>
      </c>
    </row>
    <row r="170" spans="2:17" ht="27" customHeight="1" hidden="1">
      <c r="B170" s="39">
        <v>4016000</v>
      </c>
      <c r="C170" s="38">
        <v>6000</v>
      </c>
      <c r="D170" s="121" t="s">
        <v>263</v>
      </c>
      <c r="E170" s="123"/>
      <c r="F170" s="32">
        <f t="shared" si="7"/>
        <v>0</v>
      </c>
      <c r="G170" s="32">
        <f>G171</f>
        <v>0</v>
      </c>
      <c r="H170" s="32">
        <f>H171</f>
        <v>0</v>
      </c>
      <c r="I170" s="32">
        <f>I171</f>
        <v>0</v>
      </c>
      <c r="J170" s="32">
        <f>J171</f>
        <v>0</v>
      </c>
      <c r="K170" s="32">
        <v>3200</v>
      </c>
      <c r="L170" s="32">
        <v>3200</v>
      </c>
      <c r="M170" s="32">
        <v>1855</v>
      </c>
      <c r="N170" s="32">
        <v>92</v>
      </c>
      <c r="O170" s="32">
        <v>0</v>
      </c>
      <c r="P170" s="32">
        <v>0</v>
      </c>
      <c r="Q170" s="32">
        <v>3200</v>
      </c>
    </row>
    <row r="171" spans="2:17" ht="98.25" customHeight="1" hidden="1">
      <c r="B171" s="39" t="s">
        <v>229</v>
      </c>
      <c r="C171" s="38">
        <v>6130</v>
      </c>
      <c r="D171" s="35" t="s">
        <v>261</v>
      </c>
      <c r="E171" s="36" t="s">
        <v>230</v>
      </c>
      <c r="F171" s="32">
        <f t="shared" si="7"/>
        <v>0</v>
      </c>
      <c r="G171" s="32"/>
      <c r="H171" s="32"/>
      <c r="I171" s="32"/>
      <c r="J171" s="32"/>
      <c r="K171" s="32">
        <v>3200</v>
      </c>
      <c r="L171" s="32">
        <v>3200</v>
      </c>
      <c r="M171" s="32">
        <v>1855</v>
      </c>
      <c r="N171" s="32">
        <v>92</v>
      </c>
      <c r="O171" s="32"/>
      <c r="P171" s="32"/>
      <c r="Q171" s="32">
        <v>3200</v>
      </c>
    </row>
    <row r="172" spans="2:20" ht="32.25" customHeight="1" hidden="1">
      <c r="B172" s="38">
        <v>4016650</v>
      </c>
      <c r="C172" s="38">
        <v>6650</v>
      </c>
      <c r="D172" s="35"/>
      <c r="E172" s="36" t="s">
        <v>399</v>
      </c>
      <c r="F172" s="32"/>
      <c r="G172" s="32"/>
      <c r="H172" s="32"/>
      <c r="I172" s="32"/>
      <c r="J172" s="32"/>
      <c r="K172" s="87">
        <v>29556.34376</v>
      </c>
      <c r="L172" s="106">
        <v>29556.34376</v>
      </c>
      <c r="M172" s="87"/>
      <c r="N172" s="87"/>
      <c r="O172" s="87"/>
      <c r="P172" s="87"/>
      <c r="Q172" s="87">
        <v>29556.34376</v>
      </c>
      <c r="T172" s="103"/>
    </row>
    <row r="173" spans="2:17" ht="26.25" customHeight="1" hidden="1">
      <c r="B173" s="39">
        <v>4017400</v>
      </c>
      <c r="C173" s="38">
        <v>7400</v>
      </c>
      <c r="D173" s="127" t="s">
        <v>264</v>
      </c>
      <c r="E173" s="128"/>
      <c r="F173" s="32">
        <f t="shared" si="7"/>
        <v>3000</v>
      </c>
      <c r="G173" s="32">
        <f>G174</f>
        <v>3000</v>
      </c>
      <c r="H173" s="32">
        <f>H174</f>
        <v>0</v>
      </c>
      <c r="I173" s="32">
        <f>I174</f>
        <v>0</v>
      </c>
      <c r="J173" s="32">
        <f>J174</f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3000</v>
      </c>
    </row>
    <row r="174" spans="2:17" ht="41.25" customHeight="1" hidden="1">
      <c r="B174" s="39" t="s">
        <v>231</v>
      </c>
      <c r="C174" s="38">
        <v>7410</v>
      </c>
      <c r="D174" s="35" t="s">
        <v>262</v>
      </c>
      <c r="E174" s="36" t="s">
        <v>232</v>
      </c>
      <c r="F174" s="32">
        <f t="shared" si="7"/>
        <v>3000</v>
      </c>
      <c r="G174" s="32">
        <v>3000</v>
      </c>
      <c r="H174" s="32"/>
      <c r="I174" s="32"/>
      <c r="J174" s="32"/>
      <c r="K174" s="32">
        <v>0</v>
      </c>
      <c r="L174" s="32"/>
      <c r="M174" s="32"/>
      <c r="N174" s="32"/>
      <c r="O174" s="32"/>
      <c r="P174" s="32"/>
      <c r="Q174" s="32">
        <v>3000</v>
      </c>
    </row>
    <row r="175" spans="2:20" ht="41.25" customHeight="1" hidden="1">
      <c r="B175" s="39">
        <v>4017470</v>
      </c>
      <c r="C175" s="38">
        <v>7470</v>
      </c>
      <c r="D175" s="35" t="s">
        <v>333</v>
      </c>
      <c r="E175" s="36" t="s">
        <v>334</v>
      </c>
      <c r="F175" s="32"/>
      <c r="G175" s="32"/>
      <c r="H175" s="32"/>
      <c r="I175" s="32"/>
      <c r="J175" s="32"/>
      <c r="K175" s="32">
        <v>9000</v>
      </c>
      <c r="L175" s="32"/>
      <c r="M175" s="32"/>
      <c r="N175" s="32"/>
      <c r="O175" s="37">
        <v>9000</v>
      </c>
      <c r="P175" s="37">
        <v>9000</v>
      </c>
      <c r="Q175" s="32">
        <v>9000</v>
      </c>
      <c r="T175" s="61"/>
    </row>
    <row r="176" spans="2:20" ht="41.25" customHeight="1" hidden="1">
      <c r="B176" s="38">
        <v>4019130</v>
      </c>
      <c r="C176" s="38">
        <v>9130</v>
      </c>
      <c r="D176" s="35" t="s">
        <v>345</v>
      </c>
      <c r="E176" s="36" t="s">
        <v>346</v>
      </c>
      <c r="F176" s="32"/>
      <c r="G176" s="32"/>
      <c r="H176" s="32"/>
      <c r="I176" s="32"/>
      <c r="J176" s="32"/>
      <c r="K176" s="32">
        <v>2984.6</v>
      </c>
      <c r="L176" s="32"/>
      <c r="M176" s="32"/>
      <c r="N176" s="32"/>
      <c r="O176" s="37">
        <v>2984.6</v>
      </c>
      <c r="P176" s="37"/>
      <c r="Q176" s="32">
        <v>2984.6</v>
      </c>
      <c r="T176" s="61"/>
    </row>
    <row r="177" spans="2:20" ht="41.25" customHeight="1">
      <c r="B177" s="38">
        <v>4019140</v>
      </c>
      <c r="C177" s="38">
        <v>9140</v>
      </c>
      <c r="D177" s="35" t="s">
        <v>347</v>
      </c>
      <c r="E177" s="36" t="s">
        <v>348</v>
      </c>
      <c r="F177" s="32"/>
      <c r="G177" s="32"/>
      <c r="H177" s="32"/>
      <c r="I177" s="32"/>
      <c r="J177" s="32"/>
      <c r="K177" s="32">
        <v>19766.9</v>
      </c>
      <c r="L177" s="32"/>
      <c r="M177" s="32"/>
      <c r="N177" s="32"/>
      <c r="O177" s="37">
        <v>19766.9</v>
      </c>
      <c r="P177" s="37"/>
      <c r="Q177" s="32">
        <v>19766.9</v>
      </c>
      <c r="T177" s="61"/>
    </row>
    <row r="178" spans="2:20" ht="30.75" customHeight="1" hidden="1">
      <c r="B178" s="39">
        <v>4700000</v>
      </c>
      <c r="C178" s="121" t="s">
        <v>265</v>
      </c>
      <c r="D178" s="122"/>
      <c r="E178" s="123"/>
      <c r="F178" s="62">
        <f t="shared" si="7"/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76492.86207</v>
      </c>
      <c r="L178" s="62">
        <v>0</v>
      </c>
      <c r="M178" s="62">
        <v>0</v>
      </c>
      <c r="N178" s="62">
        <v>0</v>
      </c>
      <c r="O178" s="62">
        <v>76492.86207</v>
      </c>
      <c r="P178" s="62">
        <v>76492.86207</v>
      </c>
      <c r="Q178" s="62">
        <v>76492.86207</v>
      </c>
      <c r="S178" s="63">
        <f>S185</f>
        <v>0</v>
      </c>
      <c r="T178" s="63"/>
    </row>
    <row r="179" spans="2:17" ht="32.25" customHeight="1" hidden="1">
      <c r="B179" s="46">
        <v>4710000</v>
      </c>
      <c r="C179" s="124" t="s">
        <v>265</v>
      </c>
      <c r="D179" s="125"/>
      <c r="E179" s="126"/>
      <c r="F179" s="34">
        <f t="shared" si="7"/>
        <v>0</v>
      </c>
      <c r="G179" s="34">
        <f>G180+G182</f>
        <v>0</v>
      </c>
      <c r="H179" s="34">
        <f>H180+H182</f>
        <v>0</v>
      </c>
      <c r="I179" s="34">
        <f>I180+I182</f>
        <v>0</v>
      </c>
      <c r="J179" s="34">
        <f>J180+J182</f>
        <v>0</v>
      </c>
      <c r="K179" s="81">
        <v>76492.86207</v>
      </c>
      <c r="L179" s="81">
        <v>0</v>
      </c>
      <c r="M179" s="81">
        <v>0</v>
      </c>
      <c r="N179" s="81">
        <v>0</v>
      </c>
      <c r="O179" s="81">
        <v>76492.86207</v>
      </c>
      <c r="P179" s="81">
        <v>76492.86207</v>
      </c>
      <c r="Q179" s="81">
        <v>76492.86207</v>
      </c>
    </row>
    <row r="180" spans="2:17" ht="15" hidden="1">
      <c r="B180" s="39"/>
      <c r="C180" s="38">
        <v>6300</v>
      </c>
      <c r="D180" s="121" t="s">
        <v>268</v>
      </c>
      <c r="E180" s="123"/>
      <c r="F180" s="32">
        <f t="shared" si="7"/>
        <v>0</v>
      </c>
      <c r="G180" s="32">
        <f>G181</f>
        <v>0</v>
      </c>
      <c r="H180" s="32">
        <f>H181</f>
        <v>0</v>
      </c>
      <c r="I180" s="32">
        <f>I181</f>
        <v>0</v>
      </c>
      <c r="J180" s="32">
        <f>J181</f>
        <v>0</v>
      </c>
      <c r="K180" s="62">
        <v>12055.06207</v>
      </c>
      <c r="L180" s="62">
        <v>0</v>
      </c>
      <c r="M180" s="62">
        <v>0</v>
      </c>
      <c r="N180" s="62">
        <v>0</v>
      </c>
      <c r="O180" s="62">
        <v>12055.06207</v>
      </c>
      <c r="P180" s="62">
        <v>12055.06207</v>
      </c>
      <c r="Q180" s="62">
        <v>12055.06207</v>
      </c>
    </row>
    <row r="181" spans="2:20" ht="30" hidden="1">
      <c r="B181" s="38">
        <v>4716310</v>
      </c>
      <c r="C181" s="38">
        <v>6310</v>
      </c>
      <c r="D181" s="35" t="s">
        <v>266</v>
      </c>
      <c r="E181" s="36" t="s">
        <v>386</v>
      </c>
      <c r="F181" s="32">
        <f t="shared" si="7"/>
        <v>0</v>
      </c>
      <c r="G181" s="32"/>
      <c r="H181" s="32"/>
      <c r="I181" s="32"/>
      <c r="J181" s="32"/>
      <c r="K181" s="87">
        <v>12055.06207</v>
      </c>
      <c r="L181" s="32"/>
      <c r="M181" s="32"/>
      <c r="N181" s="32"/>
      <c r="O181" s="106">
        <v>12055.06207</v>
      </c>
      <c r="P181" s="106">
        <v>12055.06207</v>
      </c>
      <c r="Q181" s="87">
        <v>12055.06207</v>
      </c>
      <c r="T181" s="61"/>
    </row>
    <row r="182" spans="2:20" ht="75" hidden="1">
      <c r="B182" s="38">
        <v>4716400</v>
      </c>
      <c r="C182" s="38">
        <v>6400</v>
      </c>
      <c r="D182" s="35"/>
      <c r="E182" s="36" t="s">
        <v>269</v>
      </c>
      <c r="F182" s="32">
        <f t="shared" si="7"/>
        <v>0</v>
      </c>
      <c r="G182" s="32">
        <f>G183</f>
        <v>0</v>
      </c>
      <c r="H182" s="32">
        <f>H183</f>
        <v>0</v>
      </c>
      <c r="I182" s="32">
        <f>I183</f>
        <v>0</v>
      </c>
      <c r="J182" s="32">
        <f>J183</f>
        <v>0</v>
      </c>
      <c r="K182" s="32">
        <v>64437.8</v>
      </c>
      <c r="L182" s="32">
        <v>0</v>
      </c>
      <c r="M182" s="32">
        <v>0</v>
      </c>
      <c r="N182" s="32">
        <v>0</v>
      </c>
      <c r="O182" s="37">
        <v>64437.8</v>
      </c>
      <c r="P182" s="37">
        <v>64437.8</v>
      </c>
      <c r="Q182" s="32">
        <v>64437.8</v>
      </c>
      <c r="T182" s="86"/>
    </row>
    <row r="183" spans="2:20" ht="30" hidden="1">
      <c r="B183" s="38">
        <v>4716410</v>
      </c>
      <c r="C183" s="38">
        <v>6410</v>
      </c>
      <c r="D183" s="35" t="s">
        <v>267</v>
      </c>
      <c r="E183" s="36" t="s">
        <v>233</v>
      </c>
      <c r="F183" s="32">
        <f t="shared" si="7"/>
        <v>0</v>
      </c>
      <c r="G183" s="32"/>
      <c r="H183" s="32"/>
      <c r="I183" s="32"/>
      <c r="J183" s="32"/>
      <c r="K183" s="32">
        <v>64437.8</v>
      </c>
      <c r="L183" s="32"/>
      <c r="M183" s="32"/>
      <c r="N183" s="32"/>
      <c r="O183" s="37">
        <v>64437.8</v>
      </c>
      <c r="P183" s="37">
        <v>64437.8</v>
      </c>
      <c r="Q183" s="32">
        <v>64437.8</v>
      </c>
      <c r="T183" s="86"/>
    </row>
    <row r="184" spans="2:20" ht="33" customHeight="1" hidden="1">
      <c r="B184" s="38">
        <v>4716421</v>
      </c>
      <c r="C184" s="38">
        <v>6421</v>
      </c>
      <c r="D184" s="35" t="s">
        <v>394</v>
      </c>
      <c r="E184" s="36" t="s">
        <v>395</v>
      </c>
      <c r="F184" s="32"/>
      <c r="G184" s="32"/>
      <c r="H184" s="32"/>
      <c r="I184" s="32"/>
      <c r="J184" s="32"/>
      <c r="K184" s="32">
        <v>9861.765</v>
      </c>
      <c r="L184" s="32"/>
      <c r="M184" s="32"/>
      <c r="N184" s="32"/>
      <c r="O184" s="37">
        <v>9861.765</v>
      </c>
      <c r="P184" s="37">
        <v>9861.765</v>
      </c>
      <c r="Q184" s="32">
        <v>9861.765</v>
      </c>
      <c r="T184" s="61"/>
    </row>
    <row r="185" spans="2:20" ht="33" customHeight="1" hidden="1">
      <c r="B185" s="38">
        <v>4718600</v>
      </c>
      <c r="C185" s="105">
        <v>8600</v>
      </c>
      <c r="D185" s="35" t="s">
        <v>206</v>
      </c>
      <c r="E185" s="36" t="s">
        <v>96</v>
      </c>
      <c r="F185" s="32">
        <f t="shared" si="7"/>
        <v>2.99</v>
      </c>
      <c r="G185" s="37">
        <v>2.99</v>
      </c>
      <c r="H185" s="32"/>
      <c r="I185" s="32"/>
      <c r="J185" s="32"/>
      <c r="K185" s="32"/>
      <c r="L185" s="32"/>
      <c r="M185" s="32"/>
      <c r="N185" s="32"/>
      <c r="O185" s="37"/>
      <c r="P185" s="37"/>
      <c r="Q185" s="32">
        <v>2.99</v>
      </c>
      <c r="S185" s="61"/>
      <c r="T185" s="86"/>
    </row>
    <row r="186" spans="2:20" ht="15" customHeight="1">
      <c r="B186" s="39">
        <v>5300000</v>
      </c>
      <c r="C186" s="111" t="s">
        <v>270</v>
      </c>
      <c r="D186" s="112"/>
      <c r="E186" s="113"/>
      <c r="F186" s="62">
        <f t="shared" si="7"/>
        <v>52194.55765000002</v>
      </c>
      <c r="G186" s="62">
        <f aca="true" t="shared" si="8" ref="G186:J187">G187</f>
        <v>52194.55765000002</v>
      </c>
      <c r="H186" s="62">
        <f t="shared" si="8"/>
        <v>38048.3</v>
      </c>
      <c r="I186" s="62">
        <f t="shared" si="8"/>
        <v>925</v>
      </c>
      <c r="J186" s="62">
        <f t="shared" si="8"/>
        <v>0</v>
      </c>
      <c r="K186" s="62">
        <v>275.2</v>
      </c>
      <c r="L186" s="62">
        <v>275.2</v>
      </c>
      <c r="M186" s="62">
        <v>0</v>
      </c>
      <c r="N186" s="62">
        <v>0</v>
      </c>
      <c r="O186" s="62">
        <v>0</v>
      </c>
      <c r="P186" s="62">
        <v>0</v>
      </c>
      <c r="Q186" s="62">
        <v>52469.757650000014</v>
      </c>
      <c r="S186" s="104">
        <f>S197+S196</f>
        <v>0</v>
      </c>
      <c r="T186" s="63"/>
    </row>
    <row r="187" spans="2:19" ht="15">
      <c r="B187" s="46">
        <v>5310000</v>
      </c>
      <c r="C187" s="124" t="s">
        <v>270</v>
      </c>
      <c r="D187" s="125"/>
      <c r="E187" s="126"/>
      <c r="F187" s="81">
        <f t="shared" si="7"/>
        <v>52194.55765000002</v>
      </c>
      <c r="G187" s="81">
        <f t="shared" si="8"/>
        <v>52194.55765000002</v>
      </c>
      <c r="H187" s="81">
        <f t="shared" si="8"/>
        <v>38048.3</v>
      </c>
      <c r="I187" s="81">
        <f t="shared" si="8"/>
        <v>925</v>
      </c>
      <c r="J187" s="81">
        <f t="shared" si="8"/>
        <v>0</v>
      </c>
      <c r="K187" s="81">
        <v>275.2</v>
      </c>
      <c r="L187" s="81">
        <v>275.2</v>
      </c>
      <c r="M187" s="81">
        <v>0</v>
      </c>
      <c r="N187" s="81">
        <v>0</v>
      </c>
      <c r="O187" s="81">
        <v>0</v>
      </c>
      <c r="P187" s="81">
        <v>0</v>
      </c>
      <c r="Q187" s="81">
        <v>52469.757650000014</v>
      </c>
      <c r="S187" s="61"/>
    </row>
    <row r="188" spans="2:19" ht="28.5" customHeight="1" hidden="1">
      <c r="B188" s="39">
        <v>5317300</v>
      </c>
      <c r="C188" s="38">
        <v>7300</v>
      </c>
      <c r="D188" s="121" t="s">
        <v>274</v>
      </c>
      <c r="E188" s="123"/>
      <c r="F188" s="62">
        <f t="shared" si="7"/>
        <v>52194.55765000002</v>
      </c>
      <c r="G188" s="62">
        <f>G189+G190+G196+G198+G193</f>
        <v>52194.55765000002</v>
      </c>
      <c r="H188" s="62">
        <f>H189+H190+H196</f>
        <v>38048.3</v>
      </c>
      <c r="I188" s="62">
        <f>I189+I190+I196</f>
        <v>925</v>
      </c>
      <c r="J188" s="62">
        <f>J189+J190+J196</f>
        <v>0</v>
      </c>
      <c r="K188" s="62">
        <v>275.2</v>
      </c>
      <c r="L188" s="62">
        <v>275.2</v>
      </c>
      <c r="M188" s="62">
        <v>0</v>
      </c>
      <c r="N188" s="62">
        <v>0</v>
      </c>
      <c r="O188" s="62">
        <v>0</v>
      </c>
      <c r="P188" s="62">
        <v>0</v>
      </c>
      <c r="Q188" s="62">
        <v>52469.757650000014</v>
      </c>
      <c r="S188" s="61"/>
    </row>
    <row r="189" spans="2:19" ht="30" hidden="1">
      <c r="B189" s="39" t="s">
        <v>234</v>
      </c>
      <c r="C189" s="38">
        <v>7310</v>
      </c>
      <c r="D189" s="35" t="s">
        <v>271</v>
      </c>
      <c r="E189" s="36" t="s">
        <v>235</v>
      </c>
      <c r="F189" s="32">
        <f t="shared" si="7"/>
        <v>0</v>
      </c>
      <c r="G189" s="32"/>
      <c r="H189" s="32"/>
      <c r="I189" s="32"/>
      <c r="J189" s="32"/>
      <c r="K189" s="32">
        <v>275.2</v>
      </c>
      <c r="L189" s="37">
        <v>275.2</v>
      </c>
      <c r="M189" s="32"/>
      <c r="N189" s="32"/>
      <c r="O189" s="32"/>
      <c r="P189" s="32"/>
      <c r="Q189" s="32">
        <v>275.2</v>
      </c>
      <c r="S189" s="61"/>
    </row>
    <row r="190" spans="2:19" ht="30" hidden="1">
      <c r="B190" s="39" t="s">
        <v>236</v>
      </c>
      <c r="C190" s="38">
        <v>7320</v>
      </c>
      <c r="D190" s="35" t="s">
        <v>272</v>
      </c>
      <c r="E190" s="36" t="s">
        <v>237</v>
      </c>
      <c r="F190" s="32">
        <f t="shared" si="7"/>
        <v>2E-11</v>
      </c>
      <c r="G190" s="37">
        <f>G191+G192</f>
        <v>2E-11</v>
      </c>
      <c r="H190" s="32"/>
      <c r="I190" s="32"/>
      <c r="J190" s="32"/>
      <c r="K190" s="32">
        <v>0</v>
      </c>
      <c r="L190" s="32"/>
      <c r="M190" s="32"/>
      <c r="N190" s="32"/>
      <c r="O190" s="32"/>
      <c r="P190" s="32"/>
      <c r="Q190" s="32">
        <v>2E-11</v>
      </c>
      <c r="S190" s="61"/>
    </row>
    <row r="191" spans="2:19" ht="72" hidden="1">
      <c r="B191" s="45" t="s">
        <v>238</v>
      </c>
      <c r="C191" s="40">
        <v>7321</v>
      </c>
      <c r="D191" s="41" t="s">
        <v>272</v>
      </c>
      <c r="E191" s="42" t="s">
        <v>239</v>
      </c>
      <c r="F191" s="43">
        <f t="shared" si="7"/>
        <v>1E-11</v>
      </c>
      <c r="G191" s="44">
        <v>1E-11</v>
      </c>
      <c r="H191" s="43"/>
      <c r="I191" s="43"/>
      <c r="J191" s="43"/>
      <c r="K191" s="43">
        <v>0</v>
      </c>
      <c r="L191" s="43"/>
      <c r="M191" s="43"/>
      <c r="N191" s="43"/>
      <c r="O191" s="43"/>
      <c r="P191" s="43"/>
      <c r="Q191" s="43">
        <v>1E-11</v>
      </c>
      <c r="S191" s="61"/>
    </row>
    <row r="192" spans="2:19" ht="48" hidden="1">
      <c r="B192" s="45" t="s">
        <v>240</v>
      </c>
      <c r="C192" s="40">
        <v>7322</v>
      </c>
      <c r="D192" s="41" t="s">
        <v>272</v>
      </c>
      <c r="E192" s="42" t="s">
        <v>241</v>
      </c>
      <c r="F192" s="43">
        <f t="shared" si="7"/>
        <v>1E-11</v>
      </c>
      <c r="G192" s="44">
        <v>1E-11</v>
      </c>
      <c r="H192" s="43"/>
      <c r="I192" s="43"/>
      <c r="J192" s="43"/>
      <c r="K192" s="43">
        <v>0</v>
      </c>
      <c r="L192" s="43"/>
      <c r="M192" s="43"/>
      <c r="N192" s="43"/>
      <c r="O192" s="43"/>
      <c r="P192" s="43"/>
      <c r="Q192" s="43">
        <v>1E-11</v>
      </c>
      <c r="S192" s="61"/>
    </row>
    <row r="193" spans="2:20" ht="45" hidden="1">
      <c r="B193" s="39">
        <v>5317330</v>
      </c>
      <c r="C193" s="38">
        <v>7330</v>
      </c>
      <c r="D193" s="35" t="s">
        <v>330</v>
      </c>
      <c r="E193" s="36" t="s">
        <v>336</v>
      </c>
      <c r="F193" s="32">
        <f>G193+J193</f>
        <v>4000</v>
      </c>
      <c r="G193" s="37">
        <f>G194+G195</f>
        <v>4000</v>
      </c>
      <c r="H193" s="32"/>
      <c r="I193" s="32"/>
      <c r="J193" s="32"/>
      <c r="K193" s="32">
        <v>1000</v>
      </c>
      <c r="L193" s="32"/>
      <c r="M193" s="32"/>
      <c r="N193" s="32"/>
      <c r="O193" s="37">
        <v>1000</v>
      </c>
      <c r="P193" s="37">
        <v>1000</v>
      </c>
      <c r="Q193" s="32">
        <v>5000</v>
      </c>
      <c r="S193" s="61"/>
      <c r="T193" s="61"/>
    </row>
    <row r="194" spans="2:19" ht="72" hidden="1">
      <c r="B194" s="45">
        <v>5317331</v>
      </c>
      <c r="C194" s="40">
        <v>7331</v>
      </c>
      <c r="D194" s="41" t="s">
        <v>272</v>
      </c>
      <c r="E194" s="42" t="s">
        <v>239</v>
      </c>
      <c r="F194" s="43">
        <f>G194+J194</f>
        <v>4000</v>
      </c>
      <c r="G194" s="44">
        <v>4000</v>
      </c>
      <c r="H194" s="43"/>
      <c r="I194" s="43"/>
      <c r="J194" s="43"/>
      <c r="K194" s="43">
        <v>0</v>
      </c>
      <c r="L194" s="43"/>
      <c r="M194" s="43"/>
      <c r="N194" s="43"/>
      <c r="O194" s="43"/>
      <c r="P194" s="43"/>
      <c r="Q194" s="43">
        <v>4000</v>
      </c>
      <c r="S194" s="61"/>
    </row>
    <row r="195" spans="2:20" ht="48" hidden="1">
      <c r="B195" s="45">
        <v>5317332</v>
      </c>
      <c r="C195" s="40">
        <v>7332</v>
      </c>
      <c r="D195" s="41" t="s">
        <v>272</v>
      </c>
      <c r="E195" s="42" t="s">
        <v>241</v>
      </c>
      <c r="F195" s="43">
        <f>G195+J195</f>
        <v>0</v>
      </c>
      <c r="G195" s="44">
        <f>1000-1000</f>
        <v>0</v>
      </c>
      <c r="H195" s="43"/>
      <c r="I195" s="43"/>
      <c r="J195" s="43"/>
      <c r="K195" s="43">
        <v>1000</v>
      </c>
      <c r="L195" s="43"/>
      <c r="M195" s="43"/>
      <c r="N195" s="43"/>
      <c r="O195" s="43">
        <v>1000</v>
      </c>
      <c r="P195" s="43">
        <v>1000</v>
      </c>
      <c r="Q195" s="43">
        <v>1000</v>
      </c>
      <c r="S195" s="61"/>
      <c r="T195" s="61"/>
    </row>
    <row r="196" spans="2:19" ht="90" hidden="1">
      <c r="B196" s="38">
        <v>5317340</v>
      </c>
      <c r="C196" s="38">
        <v>7340</v>
      </c>
      <c r="D196" s="35" t="s">
        <v>273</v>
      </c>
      <c r="E196" s="36" t="s">
        <v>242</v>
      </c>
      <c r="F196" s="87">
        <f t="shared" si="7"/>
        <v>48124.557649999995</v>
      </c>
      <c r="G196" s="106">
        <f>48053.664+70.89365</f>
        <v>48124.557649999995</v>
      </c>
      <c r="H196" s="37">
        <v>38048.3</v>
      </c>
      <c r="I196" s="37">
        <v>925</v>
      </c>
      <c r="J196" s="32"/>
      <c r="K196" s="32">
        <v>0</v>
      </c>
      <c r="L196" s="37"/>
      <c r="M196" s="37"/>
      <c r="N196" s="37"/>
      <c r="O196" s="37"/>
      <c r="P196" s="32"/>
      <c r="Q196" s="87">
        <v>48124.557649999995</v>
      </c>
      <c r="S196" s="103"/>
    </row>
    <row r="197" spans="2:19" ht="30" hidden="1">
      <c r="B197" s="38">
        <v>5317500</v>
      </c>
      <c r="C197" s="38">
        <v>7500</v>
      </c>
      <c r="D197" s="35" t="s">
        <v>383</v>
      </c>
      <c r="E197" s="36" t="s">
        <v>384</v>
      </c>
      <c r="F197" s="32">
        <f t="shared" si="7"/>
        <v>1215</v>
      </c>
      <c r="G197" s="37">
        <f>1215+3500-3500</f>
        <v>1215</v>
      </c>
      <c r="H197" s="37"/>
      <c r="I197" s="37"/>
      <c r="J197" s="32"/>
      <c r="K197" s="32"/>
      <c r="L197" s="37"/>
      <c r="M197" s="37"/>
      <c r="N197" s="37"/>
      <c r="O197" s="37"/>
      <c r="P197" s="32"/>
      <c r="Q197" s="32">
        <v>1215</v>
      </c>
      <c r="S197" s="61"/>
    </row>
    <row r="198" spans="2:19" ht="15" hidden="1">
      <c r="B198" s="38">
        <v>5318000</v>
      </c>
      <c r="C198" s="38">
        <v>8000</v>
      </c>
      <c r="D198" s="127" t="s">
        <v>97</v>
      </c>
      <c r="E198" s="128"/>
      <c r="F198" s="32">
        <f t="shared" si="7"/>
        <v>70</v>
      </c>
      <c r="G198" s="32">
        <f>G199</f>
        <v>70</v>
      </c>
      <c r="H198" s="32">
        <f>H199</f>
        <v>0</v>
      </c>
      <c r="I198" s="32">
        <f>I199</f>
        <v>0</v>
      </c>
      <c r="J198" s="32">
        <f>J199</f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70</v>
      </c>
      <c r="S198" s="61"/>
    </row>
    <row r="199" spans="2:19" ht="37.5" customHeight="1" hidden="1">
      <c r="B199" s="38" t="s">
        <v>243</v>
      </c>
      <c r="C199" s="38">
        <v>8600</v>
      </c>
      <c r="D199" s="35" t="s">
        <v>206</v>
      </c>
      <c r="E199" s="36" t="s">
        <v>96</v>
      </c>
      <c r="F199" s="32">
        <f t="shared" si="7"/>
        <v>70</v>
      </c>
      <c r="G199" s="37">
        <v>70</v>
      </c>
      <c r="H199" s="32"/>
      <c r="I199" s="32"/>
      <c r="J199" s="32"/>
      <c r="K199" s="32">
        <v>0</v>
      </c>
      <c r="L199" s="32"/>
      <c r="M199" s="32"/>
      <c r="N199" s="32"/>
      <c r="O199" s="32"/>
      <c r="P199" s="32"/>
      <c r="Q199" s="32">
        <v>70</v>
      </c>
      <c r="S199" s="61"/>
    </row>
    <row r="200" spans="2:20" ht="37.5" customHeight="1" hidden="1">
      <c r="B200" s="38">
        <v>5316324</v>
      </c>
      <c r="C200" s="38">
        <v>6324</v>
      </c>
      <c r="D200" s="35" t="s">
        <v>397</v>
      </c>
      <c r="E200" s="36" t="s">
        <v>398</v>
      </c>
      <c r="F200" s="32"/>
      <c r="G200" s="37"/>
      <c r="H200" s="32"/>
      <c r="I200" s="32"/>
      <c r="J200" s="32"/>
      <c r="K200" s="32">
        <v>2000</v>
      </c>
      <c r="L200" s="32"/>
      <c r="M200" s="32"/>
      <c r="N200" s="32"/>
      <c r="O200" s="37">
        <v>2000</v>
      </c>
      <c r="P200" s="37">
        <v>2000</v>
      </c>
      <c r="Q200" s="32">
        <v>2000</v>
      </c>
      <c r="S200" s="61"/>
      <c r="T200" s="61"/>
    </row>
    <row r="201" spans="2:20" ht="37.5" customHeight="1" hidden="1">
      <c r="B201" s="38">
        <v>5316421</v>
      </c>
      <c r="C201" s="38">
        <v>6421</v>
      </c>
      <c r="D201" s="35" t="s">
        <v>394</v>
      </c>
      <c r="E201" s="36" t="s">
        <v>395</v>
      </c>
      <c r="F201" s="32"/>
      <c r="G201" s="32"/>
      <c r="H201" s="32"/>
      <c r="I201" s="32"/>
      <c r="J201" s="32"/>
      <c r="K201" s="32">
        <v>2039.9</v>
      </c>
      <c r="L201" s="32"/>
      <c r="M201" s="32"/>
      <c r="N201" s="32"/>
      <c r="O201" s="37">
        <v>2039.9</v>
      </c>
      <c r="P201" s="37">
        <v>2039.9</v>
      </c>
      <c r="Q201" s="32">
        <v>2039.9</v>
      </c>
      <c r="S201" s="61"/>
      <c r="T201" s="61"/>
    </row>
    <row r="202" spans="2:20" ht="37.5" customHeight="1">
      <c r="B202" s="38">
        <v>5319110</v>
      </c>
      <c r="C202" s="38">
        <v>9110</v>
      </c>
      <c r="D202" s="35" t="s">
        <v>396</v>
      </c>
      <c r="E202" s="36" t="s">
        <v>351</v>
      </c>
      <c r="F202" s="32"/>
      <c r="G202" s="32"/>
      <c r="H202" s="32"/>
      <c r="I202" s="32"/>
      <c r="J202" s="32"/>
      <c r="K202" s="32">
        <v>3323</v>
      </c>
      <c r="L202" s="37">
        <v>323</v>
      </c>
      <c r="M202" s="32"/>
      <c r="N202" s="32"/>
      <c r="O202" s="37">
        <v>3000</v>
      </c>
      <c r="P202" s="37"/>
      <c r="Q202" s="32">
        <v>3323</v>
      </c>
      <c r="S202" s="61"/>
      <c r="T202" s="61"/>
    </row>
    <row r="203" spans="2:20" ht="45" customHeight="1">
      <c r="B203" s="38">
        <v>5319140</v>
      </c>
      <c r="C203" s="38">
        <v>9140</v>
      </c>
      <c r="D203" s="35" t="s">
        <v>347</v>
      </c>
      <c r="E203" s="36" t="s">
        <v>348</v>
      </c>
      <c r="F203" s="32"/>
      <c r="G203" s="32"/>
      <c r="H203" s="32"/>
      <c r="I203" s="32"/>
      <c r="J203" s="32"/>
      <c r="K203" s="32">
        <v>1250</v>
      </c>
      <c r="L203" s="32"/>
      <c r="M203" s="32"/>
      <c r="N203" s="32"/>
      <c r="O203" s="37">
        <v>1250</v>
      </c>
      <c r="P203" s="37"/>
      <c r="Q203" s="32">
        <v>1250</v>
      </c>
      <c r="S203" s="61"/>
      <c r="T203" s="61"/>
    </row>
    <row r="204" spans="2:20" ht="37.5" customHeight="1">
      <c r="B204" s="38">
        <v>5319150</v>
      </c>
      <c r="C204" s="38">
        <v>9150</v>
      </c>
      <c r="D204" s="35" t="s">
        <v>344</v>
      </c>
      <c r="E204" s="36" t="s">
        <v>343</v>
      </c>
      <c r="F204" s="32"/>
      <c r="G204" s="37"/>
      <c r="H204" s="32"/>
      <c r="I204" s="32"/>
      <c r="J204" s="32"/>
      <c r="K204" s="32">
        <v>1573.9</v>
      </c>
      <c r="L204" s="37">
        <v>142</v>
      </c>
      <c r="M204" s="32"/>
      <c r="N204" s="32"/>
      <c r="O204" s="37">
        <v>1431.9</v>
      </c>
      <c r="P204" s="32"/>
      <c r="Q204" s="32">
        <v>1573.9</v>
      </c>
      <c r="S204" s="61"/>
      <c r="T204" s="61"/>
    </row>
    <row r="205" spans="2:20" ht="17.25" customHeight="1">
      <c r="B205" s="39">
        <v>6000000</v>
      </c>
      <c r="C205" s="111" t="s">
        <v>349</v>
      </c>
      <c r="D205" s="112"/>
      <c r="E205" s="113"/>
      <c r="F205" s="32">
        <f>G205+J205</f>
        <v>0</v>
      </c>
      <c r="G205" s="32">
        <f aca="true" t="shared" si="9" ref="G205:J210">G206</f>
        <v>0</v>
      </c>
      <c r="H205" s="32">
        <f t="shared" si="9"/>
        <v>0</v>
      </c>
      <c r="I205" s="32">
        <f t="shared" si="9"/>
        <v>0</v>
      </c>
      <c r="J205" s="32">
        <f t="shared" si="9"/>
        <v>0</v>
      </c>
      <c r="K205" s="62">
        <v>118.7</v>
      </c>
      <c r="L205" s="62">
        <v>0</v>
      </c>
      <c r="M205" s="62">
        <v>0</v>
      </c>
      <c r="N205" s="62">
        <v>0</v>
      </c>
      <c r="O205" s="62">
        <v>118.7</v>
      </c>
      <c r="P205" s="62">
        <v>0</v>
      </c>
      <c r="Q205" s="62">
        <v>118.7</v>
      </c>
      <c r="S205" s="61"/>
      <c r="T205" s="63"/>
    </row>
    <row r="206" spans="2:20" ht="37.5" customHeight="1" hidden="1">
      <c r="B206" s="38">
        <v>6019110</v>
      </c>
      <c r="C206" s="38">
        <v>9110</v>
      </c>
      <c r="D206" s="35" t="s">
        <v>350</v>
      </c>
      <c r="E206" s="36" t="s">
        <v>351</v>
      </c>
      <c r="F206" s="32"/>
      <c r="G206" s="37"/>
      <c r="H206" s="32"/>
      <c r="I206" s="32"/>
      <c r="J206" s="32"/>
      <c r="K206" s="32">
        <v>118.7</v>
      </c>
      <c r="L206" s="37">
        <v>0</v>
      </c>
      <c r="M206" s="32"/>
      <c r="N206" s="32"/>
      <c r="O206" s="37">
        <v>118.7</v>
      </c>
      <c r="P206" s="32"/>
      <c r="Q206" s="32">
        <v>118.7</v>
      </c>
      <c r="S206" s="61"/>
      <c r="T206" s="61"/>
    </row>
    <row r="207" spans="2:20" ht="44.25" customHeight="1">
      <c r="B207" s="38">
        <v>4019140</v>
      </c>
      <c r="C207" s="38">
        <v>9140</v>
      </c>
      <c r="D207" s="35" t="s">
        <v>347</v>
      </c>
      <c r="E207" s="36" t="s">
        <v>348</v>
      </c>
      <c r="F207" s="32"/>
      <c r="G207" s="32"/>
      <c r="H207" s="32"/>
      <c r="I207" s="32"/>
      <c r="J207" s="32"/>
      <c r="K207" s="32">
        <v>450</v>
      </c>
      <c r="L207" s="37">
        <v>450</v>
      </c>
      <c r="M207" s="32"/>
      <c r="N207" s="32"/>
      <c r="O207" s="37"/>
      <c r="P207" s="37"/>
      <c r="Q207" s="32">
        <v>450</v>
      </c>
      <c r="S207" s="61"/>
      <c r="T207" s="61"/>
    </row>
    <row r="208" spans="2:20" ht="42.75" customHeight="1" hidden="1">
      <c r="B208" s="38">
        <v>5319150</v>
      </c>
      <c r="C208" s="38">
        <v>9150</v>
      </c>
      <c r="D208" s="35" t="s">
        <v>344</v>
      </c>
      <c r="E208" s="36" t="s">
        <v>343</v>
      </c>
      <c r="F208" s="32"/>
      <c r="G208" s="37"/>
      <c r="H208" s="32"/>
      <c r="I208" s="32"/>
      <c r="J208" s="32"/>
      <c r="K208" s="32">
        <v>872</v>
      </c>
      <c r="L208" s="32"/>
      <c r="M208" s="32"/>
      <c r="N208" s="32"/>
      <c r="O208" s="37">
        <v>872</v>
      </c>
      <c r="P208" s="32"/>
      <c r="Q208" s="32">
        <v>872</v>
      </c>
      <c r="S208" s="61"/>
      <c r="T208" s="61"/>
    </row>
    <row r="209" spans="2:19" ht="15" customHeight="1" hidden="1">
      <c r="B209" s="39">
        <v>6700000</v>
      </c>
      <c r="C209" s="111" t="s">
        <v>310</v>
      </c>
      <c r="D209" s="112"/>
      <c r="E209" s="113"/>
      <c r="F209" s="62">
        <f t="shared" si="7"/>
        <v>3400</v>
      </c>
      <c r="G209" s="62">
        <f t="shared" si="9"/>
        <v>3400</v>
      </c>
      <c r="H209" s="62">
        <f t="shared" si="9"/>
        <v>1070</v>
      </c>
      <c r="I209" s="62">
        <f t="shared" si="9"/>
        <v>39.9</v>
      </c>
      <c r="J209" s="62">
        <f t="shared" si="9"/>
        <v>0</v>
      </c>
      <c r="K209" s="62">
        <v>2000</v>
      </c>
      <c r="L209" s="62">
        <v>0</v>
      </c>
      <c r="M209" s="62">
        <v>0</v>
      </c>
      <c r="N209" s="62">
        <v>0</v>
      </c>
      <c r="O209" s="62">
        <v>2000</v>
      </c>
      <c r="P209" s="62">
        <v>2000</v>
      </c>
      <c r="Q209" s="62">
        <v>5400</v>
      </c>
      <c r="S209" s="63">
        <f>S212+S213</f>
        <v>0</v>
      </c>
    </row>
    <row r="210" spans="2:19" ht="15" hidden="1">
      <c r="B210" s="46">
        <v>6710000</v>
      </c>
      <c r="C210" s="124" t="s">
        <v>310</v>
      </c>
      <c r="D210" s="125"/>
      <c r="E210" s="126"/>
      <c r="F210" s="81">
        <f t="shared" si="7"/>
        <v>3400</v>
      </c>
      <c r="G210" s="81">
        <f t="shared" si="9"/>
        <v>3400</v>
      </c>
      <c r="H210" s="81">
        <f t="shared" si="9"/>
        <v>1070</v>
      </c>
      <c r="I210" s="81">
        <f t="shared" si="9"/>
        <v>39.9</v>
      </c>
      <c r="J210" s="81">
        <f t="shared" si="9"/>
        <v>0</v>
      </c>
      <c r="K210" s="81">
        <v>2000</v>
      </c>
      <c r="L210" s="81">
        <v>0</v>
      </c>
      <c r="M210" s="81">
        <v>0</v>
      </c>
      <c r="N210" s="81">
        <v>0</v>
      </c>
      <c r="O210" s="81">
        <v>2000</v>
      </c>
      <c r="P210" s="81">
        <v>2000</v>
      </c>
      <c r="Q210" s="81">
        <v>5400</v>
      </c>
      <c r="S210" s="61"/>
    </row>
    <row r="211" spans="2:20" ht="30" customHeight="1" hidden="1">
      <c r="B211" s="39">
        <v>6717800</v>
      </c>
      <c r="C211" s="38">
        <v>7800</v>
      </c>
      <c r="D211" s="121" t="s">
        <v>277</v>
      </c>
      <c r="E211" s="123"/>
      <c r="F211" s="32">
        <f t="shared" si="7"/>
        <v>3400</v>
      </c>
      <c r="G211" s="32">
        <f>G212+G213</f>
        <v>3400</v>
      </c>
      <c r="H211" s="32">
        <f>H212+H213</f>
        <v>1070</v>
      </c>
      <c r="I211" s="32">
        <f>I212+I213</f>
        <v>39.9</v>
      </c>
      <c r="J211" s="32">
        <f>J212+J213</f>
        <v>0</v>
      </c>
      <c r="K211" s="32">
        <v>2000</v>
      </c>
      <c r="L211" s="32">
        <v>0</v>
      </c>
      <c r="M211" s="32">
        <v>0</v>
      </c>
      <c r="N211" s="32">
        <v>0</v>
      </c>
      <c r="O211" s="32">
        <v>2000</v>
      </c>
      <c r="P211" s="32">
        <v>2000</v>
      </c>
      <c r="Q211" s="32">
        <v>5400</v>
      </c>
      <c r="S211" s="61"/>
      <c r="T211" s="61"/>
    </row>
    <row r="212" spans="2:19" ht="42.75" customHeight="1" hidden="1">
      <c r="B212" s="38" t="s">
        <v>244</v>
      </c>
      <c r="C212" s="38">
        <v>7810</v>
      </c>
      <c r="D212" s="35" t="s">
        <v>275</v>
      </c>
      <c r="E212" s="36" t="s">
        <v>245</v>
      </c>
      <c r="F212" s="32">
        <f>G212+J212</f>
        <v>1960</v>
      </c>
      <c r="G212" s="37">
        <f>1760+200</f>
        <v>1960</v>
      </c>
      <c r="H212" s="37">
        <v>1070</v>
      </c>
      <c r="I212" s="37">
        <f>9.9+30</f>
        <v>39.9</v>
      </c>
      <c r="J212" s="32"/>
      <c r="K212" s="32">
        <v>1400</v>
      </c>
      <c r="L212" s="32"/>
      <c r="M212" s="32"/>
      <c r="N212" s="32"/>
      <c r="O212" s="37">
        <v>1400</v>
      </c>
      <c r="P212" s="37">
        <v>1400</v>
      </c>
      <c r="Q212" s="32">
        <v>3360</v>
      </c>
      <c r="S212" s="61"/>
    </row>
    <row r="213" spans="2:19" ht="67.5" customHeight="1" hidden="1">
      <c r="B213" s="38" t="s">
        <v>246</v>
      </c>
      <c r="C213" s="38">
        <v>7820</v>
      </c>
      <c r="D213" s="35" t="s">
        <v>276</v>
      </c>
      <c r="E213" s="36" t="s">
        <v>247</v>
      </c>
      <c r="F213" s="32">
        <f t="shared" si="7"/>
        <v>1440</v>
      </c>
      <c r="G213" s="37">
        <f>1800-360</f>
        <v>1440</v>
      </c>
      <c r="H213" s="37"/>
      <c r="I213" s="37"/>
      <c r="J213" s="32"/>
      <c r="K213" s="32">
        <v>600</v>
      </c>
      <c r="L213" s="32"/>
      <c r="M213" s="32"/>
      <c r="N213" s="32"/>
      <c r="O213" s="37">
        <v>600</v>
      </c>
      <c r="P213" s="37">
        <v>600</v>
      </c>
      <c r="Q213" s="32">
        <v>2040</v>
      </c>
      <c r="S213" s="61"/>
    </row>
    <row r="214" spans="2:20" ht="15" customHeight="1">
      <c r="B214" s="39">
        <v>7600000</v>
      </c>
      <c r="C214" s="111" t="s">
        <v>284</v>
      </c>
      <c r="D214" s="112"/>
      <c r="E214" s="113"/>
      <c r="F214" s="62" t="e">
        <f>G214+J214+F217</f>
        <v>#REF!</v>
      </c>
      <c r="G214" s="62" t="e">
        <f>G215</f>
        <v>#REF!</v>
      </c>
      <c r="H214" s="62" t="e">
        <f aca="true" t="shared" si="10" ref="H214:J215">H215</f>
        <v>#REF!</v>
      </c>
      <c r="I214" s="62" t="e">
        <f t="shared" si="10"/>
        <v>#REF!</v>
      </c>
      <c r="J214" s="62" t="e">
        <f t="shared" si="10"/>
        <v>#REF!</v>
      </c>
      <c r="K214" s="62" t="e">
        <v>#REF!</v>
      </c>
      <c r="L214" s="62" t="e">
        <v>#REF!</v>
      </c>
      <c r="M214" s="62" t="e">
        <v>#REF!</v>
      </c>
      <c r="N214" s="62" t="e">
        <v>#REF!</v>
      </c>
      <c r="O214" s="62" t="e">
        <v>#REF!</v>
      </c>
      <c r="P214" s="62" t="e">
        <v>#REF!</v>
      </c>
      <c r="Q214" s="62" t="e">
        <v>#REF!</v>
      </c>
      <c r="S214" s="63">
        <f>S255+S252+S224+S217+S219+S220</f>
        <v>0</v>
      </c>
      <c r="T214" s="63"/>
    </row>
    <row r="215" spans="2:19" ht="15" hidden="1">
      <c r="B215" s="46">
        <v>7610000</v>
      </c>
      <c r="C215" s="124" t="s">
        <v>284</v>
      </c>
      <c r="D215" s="125"/>
      <c r="E215" s="126"/>
      <c r="F215" s="81" t="e">
        <f>G215+J215+F217</f>
        <v>#REF!</v>
      </c>
      <c r="G215" s="81" t="e">
        <f>G216</f>
        <v>#REF!</v>
      </c>
      <c r="H215" s="81" t="e">
        <f t="shared" si="10"/>
        <v>#REF!</v>
      </c>
      <c r="I215" s="81" t="e">
        <f t="shared" si="10"/>
        <v>#REF!</v>
      </c>
      <c r="J215" s="81" t="e">
        <f t="shared" si="10"/>
        <v>#REF!</v>
      </c>
      <c r="K215" s="81" t="e">
        <v>#REF!</v>
      </c>
      <c r="L215" s="81" t="e">
        <v>#REF!</v>
      </c>
      <c r="M215" s="81" t="e">
        <v>#REF!</v>
      </c>
      <c r="N215" s="81" t="e">
        <v>#REF!</v>
      </c>
      <c r="O215" s="81" t="e">
        <v>#REF!</v>
      </c>
      <c r="P215" s="81" t="e">
        <v>#REF!</v>
      </c>
      <c r="Q215" s="81" t="e">
        <v>#REF!</v>
      </c>
      <c r="S215" s="61"/>
    </row>
    <row r="216" spans="2:19" ht="15" hidden="1">
      <c r="B216" s="38">
        <v>7618000</v>
      </c>
      <c r="C216" s="38">
        <v>8000</v>
      </c>
      <c r="D216" s="121" t="s">
        <v>97</v>
      </c>
      <c r="E216" s="123"/>
      <c r="F216" s="62" t="e">
        <f>G216+J216+F217</f>
        <v>#REF!</v>
      </c>
      <c r="G216" s="62" t="e">
        <f>G217+G218</f>
        <v>#REF!</v>
      </c>
      <c r="H216" s="62" t="e">
        <f>H217+H218</f>
        <v>#REF!</v>
      </c>
      <c r="I216" s="62" t="e">
        <f>I217+I218</f>
        <v>#REF!</v>
      </c>
      <c r="J216" s="62" t="e">
        <f>J217+J218</f>
        <v>#REF!</v>
      </c>
      <c r="K216" s="62" t="e">
        <v>#REF!</v>
      </c>
      <c r="L216" s="62" t="e">
        <v>#REF!</v>
      </c>
      <c r="M216" s="62" t="e">
        <v>#REF!</v>
      </c>
      <c r="N216" s="62" t="e">
        <v>#REF!</v>
      </c>
      <c r="O216" s="62" t="e">
        <v>#REF!</v>
      </c>
      <c r="P216" s="62" t="e">
        <v>#REF!</v>
      </c>
      <c r="Q216" s="62" t="e">
        <v>#REF!</v>
      </c>
      <c r="S216" s="61"/>
    </row>
    <row r="217" spans="2:19" ht="30" hidden="1">
      <c r="B217" s="38">
        <v>7618010</v>
      </c>
      <c r="C217" s="38">
        <v>8010</v>
      </c>
      <c r="D217" s="35" t="s">
        <v>291</v>
      </c>
      <c r="E217" s="36" t="s">
        <v>285</v>
      </c>
      <c r="F217" s="87">
        <f>4486.836-70.89365</f>
        <v>4415.94235</v>
      </c>
      <c r="G217" s="32"/>
      <c r="H217" s="32"/>
      <c r="I217" s="32"/>
      <c r="J217" s="32"/>
      <c r="K217" s="32">
        <v>0</v>
      </c>
      <c r="L217" s="32"/>
      <c r="M217" s="32"/>
      <c r="N217" s="32"/>
      <c r="O217" s="32"/>
      <c r="P217" s="32"/>
      <c r="Q217" s="87">
        <v>4415.94235</v>
      </c>
      <c r="S217" s="103"/>
    </row>
    <row r="218" spans="2:19" ht="15" customHeight="1" hidden="1">
      <c r="B218" s="111" t="s">
        <v>10</v>
      </c>
      <c r="C218" s="112"/>
      <c r="D218" s="112"/>
      <c r="E218" s="113"/>
      <c r="F218" s="62" t="e">
        <f t="shared" si="7"/>
        <v>#REF!</v>
      </c>
      <c r="G218" s="62" t="e">
        <f>G219+G220+#REF!+G223+G251+G252+G254+G221+G222</f>
        <v>#REF!</v>
      </c>
      <c r="H218" s="62" t="e">
        <f>H219+H220+#REF!+H223+H251+H252</f>
        <v>#REF!</v>
      </c>
      <c r="I218" s="62" t="e">
        <f>I219+I220+#REF!+I223+I251+I252</f>
        <v>#REF!</v>
      </c>
      <c r="J218" s="62" t="e">
        <f>J219+J220+#REF!+J223+J251+J252</f>
        <v>#REF!</v>
      </c>
      <c r="K218" s="62" t="e">
        <v>#REF!</v>
      </c>
      <c r="L218" s="62" t="e">
        <v>#REF!</v>
      </c>
      <c r="M218" s="62" t="e">
        <v>#REF!</v>
      </c>
      <c r="N218" s="62" t="e">
        <v>#REF!</v>
      </c>
      <c r="O218" s="62" t="e">
        <v>#REF!</v>
      </c>
      <c r="P218" s="62" t="e">
        <v>#REF!</v>
      </c>
      <c r="Q218" s="62" t="e">
        <v>#REF!</v>
      </c>
      <c r="S218" s="61"/>
    </row>
    <row r="219" spans="2:19" ht="30" hidden="1">
      <c r="B219" s="38">
        <v>7618390</v>
      </c>
      <c r="C219" s="38">
        <v>8390</v>
      </c>
      <c r="D219" s="35" t="s">
        <v>292</v>
      </c>
      <c r="E219" s="36" t="s">
        <v>293</v>
      </c>
      <c r="F219" s="32">
        <f t="shared" si="7"/>
        <v>15300.9</v>
      </c>
      <c r="G219" s="37">
        <f>4000+11300.9</f>
        <v>15300.9</v>
      </c>
      <c r="H219" s="32"/>
      <c r="I219" s="32"/>
      <c r="J219" s="32"/>
      <c r="K219" s="32">
        <v>0</v>
      </c>
      <c r="L219" s="32"/>
      <c r="M219" s="32"/>
      <c r="N219" s="32"/>
      <c r="O219" s="32"/>
      <c r="P219" s="32"/>
      <c r="Q219" s="32">
        <v>15300.9</v>
      </c>
      <c r="S219" s="61"/>
    </row>
    <row r="220" spans="2:19" ht="61.5" customHeight="1" hidden="1">
      <c r="B220" s="38">
        <v>7618660</v>
      </c>
      <c r="C220" s="38">
        <v>8660</v>
      </c>
      <c r="D220" s="35" t="s">
        <v>387</v>
      </c>
      <c r="E220" s="50" t="s">
        <v>388</v>
      </c>
      <c r="F220" s="32">
        <f t="shared" si="7"/>
        <v>20553.4</v>
      </c>
      <c r="G220" s="37">
        <v>20553.4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>
        <v>20553.4</v>
      </c>
      <c r="S220" s="61"/>
    </row>
    <row r="221" spans="2:19" ht="117.75" customHeight="1" hidden="1">
      <c r="B221" s="39">
        <v>7618260</v>
      </c>
      <c r="C221" s="38">
        <v>8260</v>
      </c>
      <c r="D221" s="35" t="s">
        <v>294</v>
      </c>
      <c r="E221" s="36" t="s">
        <v>287</v>
      </c>
      <c r="F221" s="32">
        <f>G221+J221</f>
        <v>2194742</v>
      </c>
      <c r="G221" s="37">
        <v>2194742</v>
      </c>
      <c r="H221" s="32"/>
      <c r="I221" s="32"/>
      <c r="J221" s="32"/>
      <c r="K221" s="32">
        <v>0</v>
      </c>
      <c r="L221" s="32"/>
      <c r="M221" s="32"/>
      <c r="N221" s="32"/>
      <c r="O221" s="32"/>
      <c r="P221" s="32"/>
      <c r="Q221" s="32">
        <v>2194742</v>
      </c>
      <c r="S221" s="61"/>
    </row>
    <row r="222" spans="2:19" ht="150" hidden="1">
      <c r="B222" s="39">
        <v>7618320</v>
      </c>
      <c r="C222" s="38">
        <v>8320</v>
      </c>
      <c r="D222" s="35" t="s">
        <v>295</v>
      </c>
      <c r="E222" s="36" t="s">
        <v>288</v>
      </c>
      <c r="F222" s="32">
        <f>G222+J222</f>
        <v>2827719.8</v>
      </c>
      <c r="G222" s="37">
        <v>2827719.8</v>
      </c>
      <c r="H222" s="32"/>
      <c r="I222" s="32"/>
      <c r="J222" s="32"/>
      <c r="K222" s="32">
        <v>0</v>
      </c>
      <c r="L222" s="32"/>
      <c r="M222" s="32"/>
      <c r="N222" s="32"/>
      <c r="O222" s="32"/>
      <c r="P222" s="32"/>
      <c r="Q222" s="32">
        <v>2827719.8</v>
      </c>
      <c r="S222" s="61"/>
    </row>
    <row r="223" spans="2:17" ht="90" hidden="1">
      <c r="B223" s="39">
        <v>7618340</v>
      </c>
      <c r="C223" s="38">
        <v>8340</v>
      </c>
      <c r="D223" s="35" t="s">
        <v>296</v>
      </c>
      <c r="E223" s="36" t="s">
        <v>289</v>
      </c>
      <c r="F223" s="32">
        <f t="shared" si="7"/>
        <v>327757.2</v>
      </c>
      <c r="G223" s="37">
        <v>327757.2</v>
      </c>
      <c r="H223" s="32"/>
      <c r="I223" s="32"/>
      <c r="J223" s="32"/>
      <c r="K223" s="32">
        <v>0</v>
      </c>
      <c r="L223" s="32"/>
      <c r="M223" s="32"/>
      <c r="N223" s="32"/>
      <c r="O223" s="32"/>
      <c r="P223" s="32"/>
      <c r="Q223" s="32">
        <v>327757.2</v>
      </c>
    </row>
    <row r="224" spans="2:20" ht="60" hidden="1">
      <c r="B224" s="38">
        <v>7618370</v>
      </c>
      <c r="C224" s="38">
        <v>8370</v>
      </c>
      <c r="D224" s="35" t="s">
        <v>355</v>
      </c>
      <c r="E224" s="36" t="s">
        <v>356</v>
      </c>
      <c r="F224" s="32">
        <f>G224</f>
        <v>8588.472</v>
      </c>
      <c r="G224" s="37">
        <f>G225+G226+G232+G231</f>
        <v>8588.472</v>
      </c>
      <c r="H224" s="32">
        <v>0</v>
      </c>
      <c r="I224" s="32">
        <v>0</v>
      </c>
      <c r="J224" s="32">
        <v>0</v>
      </c>
      <c r="K224" s="32">
        <v>7119.528</v>
      </c>
      <c r="L224" s="32">
        <v>0</v>
      </c>
      <c r="M224" s="32">
        <v>0</v>
      </c>
      <c r="N224" s="32">
        <v>0</v>
      </c>
      <c r="O224" s="37">
        <v>7119.528</v>
      </c>
      <c r="P224" s="37">
        <v>7119.528</v>
      </c>
      <c r="Q224" s="32">
        <v>15708</v>
      </c>
      <c r="S224" s="61"/>
      <c r="T224" s="61"/>
    </row>
    <row r="225" spans="2:17" ht="60" hidden="1">
      <c r="B225" s="38">
        <v>7618371</v>
      </c>
      <c r="C225" s="38">
        <v>8370</v>
      </c>
      <c r="D225" s="35" t="s">
        <v>355</v>
      </c>
      <c r="E225" s="36" t="s">
        <v>357</v>
      </c>
      <c r="F225" s="32">
        <v>95</v>
      </c>
      <c r="G225" s="37">
        <v>95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>
        <v>95</v>
      </c>
    </row>
    <row r="226" spans="2:17" ht="45" hidden="1">
      <c r="B226" s="38">
        <v>7618372</v>
      </c>
      <c r="C226" s="38">
        <v>8370</v>
      </c>
      <c r="D226" s="35" t="s">
        <v>355</v>
      </c>
      <c r="E226" s="36" t="s">
        <v>358</v>
      </c>
      <c r="F226" s="32">
        <f>G226</f>
        <v>1632.42</v>
      </c>
      <c r="G226" s="37">
        <f>G227+G228+G229+G230</f>
        <v>1632.42</v>
      </c>
      <c r="H226" s="32">
        <v>0</v>
      </c>
      <c r="I226" s="32">
        <v>0</v>
      </c>
      <c r="J226" s="32">
        <v>0</v>
      </c>
      <c r="K226" s="32">
        <v>1030.58</v>
      </c>
      <c r="L226" s="32">
        <v>0</v>
      </c>
      <c r="M226" s="32">
        <v>0</v>
      </c>
      <c r="N226" s="32">
        <v>0</v>
      </c>
      <c r="O226" s="37">
        <v>1030.58</v>
      </c>
      <c r="P226" s="37">
        <v>1030.58</v>
      </c>
      <c r="Q226" s="32">
        <v>2663</v>
      </c>
    </row>
    <row r="227" spans="2:17" ht="15" customHeight="1" hidden="1">
      <c r="B227" s="108" t="s">
        <v>359</v>
      </c>
      <c r="C227" s="109"/>
      <c r="D227" s="109"/>
      <c r="E227" s="110"/>
      <c r="F227" s="34">
        <v>624</v>
      </c>
      <c r="G227" s="84">
        <v>624</v>
      </c>
      <c r="H227" s="34"/>
      <c r="I227" s="34"/>
      <c r="J227" s="34"/>
      <c r="K227" s="34">
        <v>286</v>
      </c>
      <c r="L227" s="34"/>
      <c r="M227" s="34"/>
      <c r="N227" s="34"/>
      <c r="O227" s="84">
        <v>286</v>
      </c>
      <c r="P227" s="84">
        <v>286</v>
      </c>
      <c r="Q227" s="34">
        <v>910</v>
      </c>
    </row>
    <row r="228" spans="2:17" ht="15" customHeight="1" hidden="1">
      <c r="B228" s="108" t="s">
        <v>360</v>
      </c>
      <c r="C228" s="109"/>
      <c r="D228" s="109"/>
      <c r="E228" s="110"/>
      <c r="F228" s="34">
        <v>233</v>
      </c>
      <c r="G228" s="84">
        <v>233</v>
      </c>
      <c r="H228" s="34"/>
      <c r="I228" s="34"/>
      <c r="J228" s="34"/>
      <c r="K228" s="34">
        <v>140</v>
      </c>
      <c r="L228" s="34"/>
      <c r="M228" s="34"/>
      <c r="N228" s="34"/>
      <c r="O228" s="84">
        <v>140</v>
      </c>
      <c r="P228" s="84">
        <v>140</v>
      </c>
      <c r="Q228" s="34">
        <v>373</v>
      </c>
    </row>
    <row r="229" spans="2:17" ht="15" customHeight="1" hidden="1">
      <c r="B229" s="108" t="s">
        <v>361</v>
      </c>
      <c r="C229" s="109"/>
      <c r="D229" s="109"/>
      <c r="E229" s="110"/>
      <c r="F229" s="34">
        <v>625.42</v>
      </c>
      <c r="G229" s="84">
        <v>625.42</v>
      </c>
      <c r="H229" s="34"/>
      <c r="I229" s="34"/>
      <c r="J229" s="34"/>
      <c r="K229" s="34">
        <v>604.58</v>
      </c>
      <c r="L229" s="34"/>
      <c r="M229" s="34"/>
      <c r="N229" s="34"/>
      <c r="O229" s="84">
        <v>604.58</v>
      </c>
      <c r="P229" s="84">
        <v>604.58</v>
      </c>
      <c r="Q229" s="34">
        <v>1230</v>
      </c>
    </row>
    <row r="230" spans="2:17" ht="15" customHeight="1" hidden="1">
      <c r="B230" s="115" t="s">
        <v>385</v>
      </c>
      <c r="C230" s="116"/>
      <c r="D230" s="116"/>
      <c r="E230" s="117"/>
      <c r="F230" s="34">
        <f>G230+J230</f>
        <v>150</v>
      </c>
      <c r="G230" s="84">
        <v>150</v>
      </c>
      <c r="H230" s="34"/>
      <c r="I230" s="34"/>
      <c r="J230" s="34"/>
      <c r="K230" s="34"/>
      <c r="L230" s="34"/>
      <c r="M230" s="34"/>
      <c r="N230" s="34"/>
      <c r="O230" s="84"/>
      <c r="P230" s="84"/>
      <c r="Q230" s="34">
        <v>150</v>
      </c>
    </row>
    <row r="231" spans="2:17" ht="38.25" hidden="1">
      <c r="B231" s="38">
        <v>7618373</v>
      </c>
      <c r="C231" s="38">
        <v>8370</v>
      </c>
      <c r="D231" s="35" t="s">
        <v>355</v>
      </c>
      <c r="E231" s="85" t="s">
        <v>362</v>
      </c>
      <c r="F231" s="32">
        <f>G231</f>
        <v>1600</v>
      </c>
      <c r="G231" s="37">
        <v>1600</v>
      </c>
      <c r="H231" s="32"/>
      <c r="I231" s="32"/>
      <c r="J231" s="32"/>
      <c r="K231" s="32">
        <v>400</v>
      </c>
      <c r="L231" s="32"/>
      <c r="M231" s="32"/>
      <c r="N231" s="32"/>
      <c r="O231" s="37">
        <v>400</v>
      </c>
      <c r="P231" s="37">
        <v>400</v>
      </c>
      <c r="Q231" s="32">
        <v>2000</v>
      </c>
    </row>
    <row r="232" spans="2:17" ht="63.75" hidden="1">
      <c r="B232" s="38">
        <v>7618374</v>
      </c>
      <c r="C232" s="38">
        <v>8370</v>
      </c>
      <c r="D232" s="35" t="s">
        <v>355</v>
      </c>
      <c r="E232" s="85" t="s">
        <v>363</v>
      </c>
      <c r="F232" s="32">
        <f>G232+J232</f>
        <v>5261.052</v>
      </c>
      <c r="G232" s="37">
        <f>G233+G234+G235+G236+G237+G238+G239+G240+G241+G242+G243+G244+G245+G246+G247+G248+G249</f>
        <v>5261.052</v>
      </c>
      <c r="H232" s="32">
        <v>0</v>
      </c>
      <c r="I232" s="32">
        <v>0</v>
      </c>
      <c r="J232" s="32">
        <v>0</v>
      </c>
      <c r="K232" s="32">
        <v>3388.948</v>
      </c>
      <c r="L232" s="32">
        <v>0</v>
      </c>
      <c r="M232" s="32">
        <v>0</v>
      </c>
      <c r="N232" s="32">
        <v>0</v>
      </c>
      <c r="O232" s="37">
        <v>3388.948</v>
      </c>
      <c r="P232" s="37">
        <v>3388.948</v>
      </c>
      <c r="Q232" s="32">
        <v>8650</v>
      </c>
    </row>
    <row r="233" spans="2:17" ht="15" customHeight="1" hidden="1">
      <c r="B233" s="108" t="s">
        <v>364</v>
      </c>
      <c r="C233" s="109"/>
      <c r="D233" s="109"/>
      <c r="E233" s="110"/>
      <c r="F233" s="34">
        <v>40</v>
      </c>
      <c r="G233" s="84">
        <v>40</v>
      </c>
      <c r="H233" s="34"/>
      <c r="I233" s="34"/>
      <c r="J233" s="34"/>
      <c r="K233" s="34">
        <v>260</v>
      </c>
      <c r="L233" s="34"/>
      <c r="M233" s="34"/>
      <c r="N233" s="34"/>
      <c r="O233" s="84">
        <v>260</v>
      </c>
      <c r="P233" s="84">
        <v>260</v>
      </c>
      <c r="Q233" s="34">
        <v>300</v>
      </c>
    </row>
    <row r="234" spans="2:17" ht="15" customHeight="1" hidden="1">
      <c r="B234" s="108" t="s">
        <v>365</v>
      </c>
      <c r="C234" s="109"/>
      <c r="D234" s="109"/>
      <c r="E234" s="110"/>
      <c r="F234" s="34">
        <v>573.7</v>
      </c>
      <c r="G234" s="84">
        <v>573.7</v>
      </c>
      <c r="H234" s="34"/>
      <c r="I234" s="34"/>
      <c r="J234" s="34"/>
      <c r="K234" s="34">
        <v>376.3</v>
      </c>
      <c r="L234" s="34"/>
      <c r="M234" s="34"/>
      <c r="N234" s="34"/>
      <c r="O234" s="84">
        <v>376.3</v>
      </c>
      <c r="P234" s="84">
        <v>376.3</v>
      </c>
      <c r="Q234" s="34">
        <v>950</v>
      </c>
    </row>
    <row r="235" spans="2:17" ht="15" customHeight="1" hidden="1">
      <c r="B235" s="108" t="s">
        <v>366</v>
      </c>
      <c r="C235" s="109"/>
      <c r="D235" s="109"/>
      <c r="E235" s="110"/>
      <c r="F235" s="34">
        <f>G235</f>
        <v>714.352</v>
      </c>
      <c r="G235" s="84">
        <f>850-135.648</f>
        <v>714.352</v>
      </c>
      <c r="H235" s="34"/>
      <c r="I235" s="34"/>
      <c r="J235" s="34"/>
      <c r="K235" s="102">
        <v>135.648</v>
      </c>
      <c r="L235" s="34"/>
      <c r="M235" s="34"/>
      <c r="N235" s="34"/>
      <c r="O235" s="84">
        <v>135.648</v>
      </c>
      <c r="P235" s="84">
        <v>135.648</v>
      </c>
      <c r="Q235" s="34">
        <v>850</v>
      </c>
    </row>
    <row r="236" spans="2:17" ht="15" customHeight="1" hidden="1">
      <c r="B236" s="118" t="s">
        <v>367</v>
      </c>
      <c r="C236" s="119"/>
      <c r="D236" s="119"/>
      <c r="E236" s="120"/>
      <c r="F236" s="91"/>
      <c r="G236" s="92"/>
      <c r="H236" s="91"/>
      <c r="I236" s="91"/>
      <c r="J236" s="91"/>
      <c r="K236" s="91">
        <v>0</v>
      </c>
      <c r="L236" s="91"/>
      <c r="M236" s="91"/>
      <c r="N236" s="91"/>
      <c r="O236" s="92"/>
      <c r="P236" s="92"/>
      <c r="Q236" s="91"/>
    </row>
    <row r="237" spans="2:17" ht="15" customHeight="1" hidden="1">
      <c r="B237" s="108" t="s">
        <v>368</v>
      </c>
      <c r="C237" s="109"/>
      <c r="D237" s="109"/>
      <c r="E237" s="110"/>
      <c r="F237" s="34">
        <v>200</v>
      </c>
      <c r="G237" s="84">
        <v>200</v>
      </c>
      <c r="H237" s="34"/>
      <c r="I237" s="34"/>
      <c r="J237" s="34"/>
      <c r="K237" s="34">
        <v>0</v>
      </c>
      <c r="L237" s="34"/>
      <c r="M237" s="34"/>
      <c r="N237" s="34"/>
      <c r="O237" s="84"/>
      <c r="P237" s="84"/>
      <c r="Q237" s="34">
        <v>200</v>
      </c>
    </row>
    <row r="238" spans="2:20" ht="28.5" customHeight="1" hidden="1">
      <c r="B238" s="108" t="s">
        <v>380</v>
      </c>
      <c r="C238" s="109"/>
      <c r="D238" s="109"/>
      <c r="E238" s="110"/>
      <c r="F238" s="34">
        <f>G238</f>
        <v>398</v>
      </c>
      <c r="G238" s="84">
        <f>910-512</f>
        <v>398</v>
      </c>
      <c r="H238" s="34"/>
      <c r="I238" s="34"/>
      <c r="J238" s="34"/>
      <c r="K238" s="34">
        <v>562</v>
      </c>
      <c r="L238" s="34"/>
      <c r="M238" s="34"/>
      <c r="N238" s="34"/>
      <c r="O238" s="84">
        <v>562</v>
      </c>
      <c r="P238" s="84">
        <v>562</v>
      </c>
      <c r="Q238" s="34">
        <v>960</v>
      </c>
      <c r="S238" s="86"/>
      <c r="T238" s="86"/>
    </row>
    <row r="239" spans="2:17" ht="15" customHeight="1" hidden="1">
      <c r="B239" s="108" t="s">
        <v>369</v>
      </c>
      <c r="C239" s="109"/>
      <c r="D239" s="109"/>
      <c r="E239" s="110"/>
      <c r="F239" s="34">
        <v>420</v>
      </c>
      <c r="G239" s="84">
        <v>420</v>
      </c>
      <c r="H239" s="34"/>
      <c r="I239" s="34"/>
      <c r="J239" s="34"/>
      <c r="K239" s="34">
        <v>450</v>
      </c>
      <c r="L239" s="34"/>
      <c r="M239" s="34"/>
      <c r="N239" s="34"/>
      <c r="O239" s="84">
        <v>450</v>
      </c>
      <c r="P239" s="84">
        <v>450</v>
      </c>
      <c r="Q239" s="34">
        <v>870</v>
      </c>
    </row>
    <row r="240" spans="2:17" ht="15" customHeight="1" hidden="1">
      <c r="B240" s="108" t="s">
        <v>370</v>
      </c>
      <c r="C240" s="109"/>
      <c r="D240" s="109"/>
      <c r="E240" s="110"/>
      <c r="F240" s="34">
        <v>100</v>
      </c>
      <c r="G240" s="84">
        <v>100</v>
      </c>
      <c r="H240" s="34"/>
      <c r="I240" s="34"/>
      <c r="J240" s="34"/>
      <c r="K240" s="34">
        <v>0</v>
      </c>
      <c r="L240" s="34"/>
      <c r="M240" s="34"/>
      <c r="N240" s="34"/>
      <c r="O240" s="84"/>
      <c r="P240" s="84"/>
      <c r="Q240" s="34">
        <v>100</v>
      </c>
    </row>
    <row r="241" spans="2:17" ht="15" customHeight="1" hidden="1">
      <c r="B241" s="108" t="s">
        <v>371</v>
      </c>
      <c r="C241" s="109"/>
      <c r="D241" s="109"/>
      <c r="E241" s="110"/>
      <c r="F241" s="34">
        <v>100</v>
      </c>
      <c r="G241" s="84">
        <v>100</v>
      </c>
      <c r="H241" s="34"/>
      <c r="I241" s="34"/>
      <c r="J241" s="34"/>
      <c r="K241" s="34">
        <v>0</v>
      </c>
      <c r="L241" s="34"/>
      <c r="M241" s="34"/>
      <c r="N241" s="34"/>
      <c r="O241" s="84"/>
      <c r="P241" s="84"/>
      <c r="Q241" s="34">
        <v>100</v>
      </c>
    </row>
    <row r="242" spans="2:17" ht="15" customHeight="1" hidden="1">
      <c r="B242" s="108" t="s">
        <v>372</v>
      </c>
      <c r="C242" s="109"/>
      <c r="D242" s="109"/>
      <c r="E242" s="110"/>
      <c r="F242" s="34">
        <v>293</v>
      </c>
      <c r="G242" s="84">
        <v>293</v>
      </c>
      <c r="H242" s="34"/>
      <c r="I242" s="34"/>
      <c r="J242" s="34"/>
      <c r="K242" s="34">
        <v>0</v>
      </c>
      <c r="L242" s="34"/>
      <c r="M242" s="34"/>
      <c r="N242" s="34"/>
      <c r="O242" s="84"/>
      <c r="P242" s="84"/>
      <c r="Q242" s="34">
        <v>293</v>
      </c>
    </row>
    <row r="243" spans="2:17" ht="15" customHeight="1" hidden="1">
      <c r="B243" s="108" t="s">
        <v>373</v>
      </c>
      <c r="C243" s="109"/>
      <c r="D243" s="109"/>
      <c r="E243" s="110"/>
      <c r="F243" s="34">
        <v>950</v>
      </c>
      <c r="G243" s="84">
        <v>950</v>
      </c>
      <c r="H243" s="34"/>
      <c r="I243" s="34"/>
      <c r="J243" s="34"/>
      <c r="K243" s="34">
        <v>0</v>
      </c>
      <c r="L243" s="34"/>
      <c r="M243" s="34"/>
      <c r="N243" s="34"/>
      <c r="O243" s="84"/>
      <c r="P243" s="84"/>
      <c r="Q243" s="34">
        <v>950</v>
      </c>
    </row>
    <row r="244" spans="2:17" ht="15" customHeight="1" hidden="1">
      <c r="B244" s="108" t="s">
        <v>374</v>
      </c>
      <c r="C244" s="109"/>
      <c r="D244" s="109"/>
      <c r="E244" s="110"/>
      <c r="F244" s="34">
        <v>310</v>
      </c>
      <c r="G244" s="84">
        <v>310</v>
      </c>
      <c r="H244" s="34"/>
      <c r="I244" s="34"/>
      <c r="J244" s="34"/>
      <c r="K244" s="34">
        <v>190</v>
      </c>
      <c r="L244" s="34"/>
      <c r="M244" s="34"/>
      <c r="N244" s="34"/>
      <c r="O244" s="84">
        <v>190</v>
      </c>
      <c r="P244" s="84">
        <v>190</v>
      </c>
      <c r="Q244" s="34">
        <v>500</v>
      </c>
    </row>
    <row r="245" spans="2:17" ht="15" customHeight="1" hidden="1">
      <c r="B245" s="108" t="s">
        <v>375</v>
      </c>
      <c r="C245" s="109"/>
      <c r="D245" s="109"/>
      <c r="E245" s="110"/>
      <c r="F245" s="34">
        <v>0</v>
      </c>
      <c r="G245" s="84"/>
      <c r="H245" s="34"/>
      <c r="I245" s="34"/>
      <c r="J245" s="34"/>
      <c r="K245" s="34">
        <v>450</v>
      </c>
      <c r="L245" s="34"/>
      <c r="M245" s="34"/>
      <c r="N245" s="34"/>
      <c r="O245" s="84">
        <v>450</v>
      </c>
      <c r="P245" s="84">
        <v>450</v>
      </c>
      <c r="Q245" s="34">
        <v>450</v>
      </c>
    </row>
    <row r="246" spans="2:17" ht="15" customHeight="1" hidden="1">
      <c r="B246" s="108" t="s">
        <v>376</v>
      </c>
      <c r="C246" s="109"/>
      <c r="D246" s="109"/>
      <c r="E246" s="110"/>
      <c r="F246" s="34">
        <v>60</v>
      </c>
      <c r="G246" s="84">
        <v>60</v>
      </c>
      <c r="H246" s="34"/>
      <c r="I246" s="34"/>
      <c r="J246" s="34"/>
      <c r="K246" s="34">
        <v>50</v>
      </c>
      <c r="L246" s="34"/>
      <c r="M246" s="34"/>
      <c r="N246" s="34"/>
      <c r="O246" s="84">
        <v>50</v>
      </c>
      <c r="P246" s="84">
        <v>50</v>
      </c>
      <c r="Q246" s="34">
        <v>110</v>
      </c>
    </row>
    <row r="247" spans="2:17" ht="15" customHeight="1" hidden="1">
      <c r="B247" s="108" t="s">
        <v>377</v>
      </c>
      <c r="C247" s="109"/>
      <c r="D247" s="109"/>
      <c r="E247" s="110"/>
      <c r="F247" s="34">
        <v>100</v>
      </c>
      <c r="G247" s="84">
        <v>100</v>
      </c>
      <c r="H247" s="34"/>
      <c r="I247" s="34"/>
      <c r="J247" s="34"/>
      <c r="K247" s="34">
        <v>900</v>
      </c>
      <c r="L247" s="34"/>
      <c r="M247" s="34"/>
      <c r="N247" s="34"/>
      <c r="O247" s="84">
        <v>900</v>
      </c>
      <c r="P247" s="84">
        <v>900</v>
      </c>
      <c r="Q247" s="34">
        <v>1000</v>
      </c>
    </row>
    <row r="248" spans="2:17" ht="15" customHeight="1" hidden="1">
      <c r="B248" s="108" t="s">
        <v>118</v>
      </c>
      <c r="C248" s="109"/>
      <c r="D248" s="109"/>
      <c r="E248" s="110"/>
      <c r="F248" s="34">
        <v>102</v>
      </c>
      <c r="G248" s="84">
        <v>102</v>
      </c>
      <c r="H248" s="34"/>
      <c r="I248" s="34"/>
      <c r="J248" s="34"/>
      <c r="K248" s="34">
        <v>15</v>
      </c>
      <c r="L248" s="34"/>
      <c r="M248" s="34"/>
      <c r="N248" s="34"/>
      <c r="O248" s="84">
        <v>15</v>
      </c>
      <c r="P248" s="84">
        <v>15</v>
      </c>
      <c r="Q248" s="34">
        <v>117</v>
      </c>
    </row>
    <row r="249" spans="2:17" ht="39" customHeight="1" hidden="1">
      <c r="B249" s="115" t="s">
        <v>378</v>
      </c>
      <c r="C249" s="116"/>
      <c r="D249" s="116"/>
      <c r="E249" s="117"/>
      <c r="F249" s="34">
        <f>G249</f>
        <v>900</v>
      </c>
      <c r="G249" s="84">
        <f>1050+200-150-200</f>
        <v>900</v>
      </c>
      <c r="H249" s="34"/>
      <c r="I249" s="34"/>
      <c r="J249" s="34"/>
      <c r="K249" s="34"/>
      <c r="L249" s="34"/>
      <c r="M249" s="34"/>
      <c r="N249" s="34"/>
      <c r="O249" s="84"/>
      <c r="P249" s="84"/>
      <c r="Q249" s="34">
        <v>900</v>
      </c>
    </row>
    <row r="250" spans="2:17" ht="76.5" hidden="1">
      <c r="B250" s="38">
        <v>7618375</v>
      </c>
      <c r="C250" s="38">
        <v>8370</v>
      </c>
      <c r="D250" s="35" t="s">
        <v>355</v>
      </c>
      <c r="E250" s="85" t="s">
        <v>379</v>
      </c>
      <c r="F250" s="32">
        <v>0</v>
      </c>
      <c r="G250" s="37"/>
      <c r="H250" s="32"/>
      <c r="I250" s="32"/>
      <c r="J250" s="32"/>
      <c r="K250" s="32">
        <v>2300</v>
      </c>
      <c r="L250" s="32"/>
      <c r="M250" s="32"/>
      <c r="N250" s="32"/>
      <c r="O250" s="37">
        <v>2300</v>
      </c>
      <c r="P250" s="37">
        <v>2300</v>
      </c>
      <c r="Q250" s="32">
        <v>2300</v>
      </c>
    </row>
    <row r="251" spans="2:17" ht="210" hidden="1">
      <c r="B251" s="39">
        <v>7618480</v>
      </c>
      <c r="C251" s="38">
        <v>8480</v>
      </c>
      <c r="D251" s="35" t="s">
        <v>297</v>
      </c>
      <c r="E251" s="36" t="s">
        <v>290</v>
      </c>
      <c r="F251" s="32">
        <f t="shared" si="7"/>
        <v>38460.2</v>
      </c>
      <c r="G251" s="37">
        <v>38460.2</v>
      </c>
      <c r="H251" s="32"/>
      <c r="I251" s="32"/>
      <c r="J251" s="32"/>
      <c r="K251" s="32">
        <v>0</v>
      </c>
      <c r="L251" s="32"/>
      <c r="M251" s="32"/>
      <c r="N251" s="32"/>
      <c r="O251" s="32"/>
      <c r="P251" s="32"/>
      <c r="Q251" s="32">
        <v>38460.2</v>
      </c>
    </row>
    <row r="252" spans="2:20" ht="30">
      <c r="B252" s="38">
        <v>7618800</v>
      </c>
      <c r="C252" s="38">
        <v>8800</v>
      </c>
      <c r="D252" s="35" t="s">
        <v>298</v>
      </c>
      <c r="E252" s="36" t="s">
        <v>286</v>
      </c>
      <c r="F252" s="32">
        <f t="shared" si="7"/>
        <v>6125.378000000001</v>
      </c>
      <c r="G252" s="37">
        <v>6125.378000000001</v>
      </c>
      <c r="H252" s="32"/>
      <c r="I252" s="32"/>
      <c r="J252" s="32"/>
      <c r="K252" s="32">
        <v>40514.8</v>
      </c>
      <c r="L252" s="37">
        <v>830.1</v>
      </c>
      <c r="M252" s="37"/>
      <c r="N252" s="37"/>
      <c r="O252" s="37">
        <v>39684.7</v>
      </c>
      <c r="P252" s="32"/>
      <c r="Q252" s="32">
        <v>46640.178</v>
      </c>
      <c r="S252" s="89"/>
      <c r="T252" s="61"/>
    </row>
    <row r="253" spans="2:20" ht="75" hidden="1">
      <c r="B253" s="38">
        <v>7618610</v>
      </c>
      <c r="C253" s="38">
        <v>8610</v>
      </c>
      <c r="D253" s="35" t="s">
        <v>353</v>
      </c>
      <c r="E253" s="36" t="s">
        <v>354</v>
      </c>
      <c r="F253" s="87">
        <f>G253+J253</f>
        <v>50955.30103</v>
      </c>
      <c r="G253" s="37"/>
      <c r="H253" s="32"/>
      <c r="I253" s="32"/>
      <c r="J253" s="87">
        <f>51051.89186-96.59083</f>
        <v>50955.30103</v>
      </c>
      <c r="K253" s="32"/>
      <c r="L253" s="32"/>
      <c r="M253" s="32"/>
      <c r="N253" s="32"/>
      <c r="O253" s="37"/>
      <c r="P253" s="37"/>
      <c r="Q253" s="87">
        <f>K253+F253</f>
        <v>50955.30103</v>
      </c>
      <c r="T253" s="61"/>
    </row>
    <row r="254" spans="2:17" ht="60" hidden="1">
      <c r="B254" s="39">
        <v>7618630</v>
      </c>
      <c r="C254" s="38">
        <v>8630</v>
      </c>
      <c r="D254" s="35" t="s">
        <v>305</v>
      </c>
      <c r="E254" s="36" t="s">
        <v>304</v>
      </c>
      <c r="F254" s="56">
        <f t="shared" si="7"/>
        <v>2932.4</v>
      </c>
      <c r="G254" s="37">
        <v>2932.4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>
        <f>K254+F254</f>
        <v>2932.4</v>
      </c>
    </row>
    <row r="255" spans="2:19" ht="60" hidden="1">
      <c r="B255" s="38">
        <v>7618510</v>
      </c>
      <c r="C255" s="38">
        <v>8510</v>
      </c>
      <c r="D255" s="35" t="s">
        <v>331</v>
      </c>
      <c r="E255" s="36" t="s">
        <v>332</v>
      </c>
      <c r="F255" s="56">
        <f t="shared" si="7"/>
        <v>1170.9</v>
      </c>
      <c r="G255" s="37">
        <f>83+1087.9</f>
        <v>1170.9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>
        <f>K255+F255</f>
        <v>1170.9</v>
      </c>
      <c r="S255" s="61"/>
    </row>
    <row r="256" spans="2:17" ht="22.5" customHeight="1" hidden="1">
      <c r="B256" s="111" t="s">
        <v>13</v>
      </c>
      <c r="C256" s="112"/>
      <c r="D256" s="112"/>
      <c r="E256" s="113"/>
      <c r="F256" s="57" t="e">
        <f aca="true" t="shared" si="11" ref="F256:P256">F9+F16+F29+F49+F71+F104+F127+F132+F147+F153+F168+F178+F186+F209+F214</f>
        <v>#REF!</v>
      </c>
      <c r="G256" s="57" t="e">
        <f t="shared" si="11"/>
        <v>#REF!</v>
      </c>
      <c r="H256" s="57" t="e">
        <f t="shared" si="11"/>
        <v>#REF!</v>
      </c>
      <c r="I256" s="57" t="e">
        <f t="shared" si="11"/>
        <v>#REF!</v>
      </c>
      <c r="J256" s="57" t="e">
        <f t="shared" si="11"/>
        <v>#REF!</v>
      </c>
      <c r="K256" s="57" t="e">
        <f t="shared" si="11"/>
        <v>#REF!</v>
      </c>
      <c r="L256" s="57" t="e">
        <f t="shared" si="11"/>
        <v>#REF!</v>
      </c>
      <c r="M256" s="57" t="e">
        <f t="shared" si="11"/>
        <v>#REF!</v>
      </c>
      <c r="N256" s="57" t="e">
        <f t="shared" si="11"/>
        <v>#REF!</v>
      </c>
      <c r="O256" s="57" t="e">
        <f t="shared" si="11"/>
        <v>#REF!</v>
      </c>
      <c r="P256" s="57" t="e">
        <f t="shared" si="11"/>
        <v>#REF!</v>
      </c>
      <c r="Q256" s="57" t="e">
        <f>K256+F256</f>
        <v>#REF!</v>
      </c>
    </row>
    <row r="258" spans="2:18" ht="18.75">
      <c r="B258" s="21" t="s">
        <v>320</v>
      </c>
      <c r="C258" s="21"/>
      <c r="D258" s="22"/>
      <c r="E258" s="22"/>
      <c r="F258" s="23"/>
      <c r="G258" s="23"/>
      <c r="H258" s="23"/>
      <c r="I258" s="23"/>
      <c r="J258" s="23"/>
      <c r="K258" s="23"/>
      <c r="L258" s="23"/>
      <c r="M258" s="23"/>
      <c r="N258" s="23"/>
      <c r="O258" s="3"/>
      <c r="P258" s="114" t="s">
        <v>321</v>
      </c>
      <c r="Q258" s="114"/>
      <c r="R258" s="21"/>
    </row>
    <row r="259" spans="2:18" ht="18.75">
      <c r="B259" s="21"/>
      <c r="C259" s="21"/>
      <c r="D259" s="22"/>
      <c r="E259" s="22"/>
      <c r="F259" s="23"/>
      <c r="G259" s="23"/>
      <c r="H259" s="23"/>
      <c r="I259" s="23"/>
      <c r="J259" s="23"/>
      <c r="K259" s="23"/>
      <c r="L259" s="23"/>
      <c r="M259" s="23"/>
      <c r="N259" s="23"/>
      <c r="O259" s="24"/>
      <c r="P259" s="24"/>
      <c r="Q259" s="21"/>
      <c r="R259" s="21"/>
    </row>
    <row r="260" spans="2:20" ht="18.75">
      <c r="B260" s="21"/>
      <c r="C260" s="21"/>
      <c r="D260" s="22"/>
      <c r="E260" s="22"/>
      <c r="F260" s="23"/>
      <c r="G260" s="23"/>
      <c r="H260" s="23"/>
      <c r="I260" s="23"/>
      <c r="J260" s="23"/>
      <c r="K260" s="23"/>
      <c r="L260" s="23"/>
      <c r="M260" s="23"/>
      <c r="N260" s="23"/>
      <c r="O260" s="24"/>
      <c r="P260" s="24"/>
      <c r="Q260" s="21"/>
      <c r="R260" s="21"/>
      <c r="S260" s="63">
        <f>S29+S49+S71+S186+S214+S209+S104+S178+S132</f>
        <v>0</v>
      </c>
      <c r="T260" s="63">
        <f>T29+T49+T71+T186+T214+T209+T104+T178+T205+T168+T16+T132</f>
        <v>0</v>
      </c>
    </row>
    <row r="261" spans="2:18" ht="18.75">
      <c r="B261" s="21"/>
      <c r="C261" s="21"/>
      <c r="D261" s="22"/>
      <c r="E261" s="22"/>
      <c r="F261" s="23"/>
      <c r="G261" s="23"/>
      <c r="H261" s="23"/>
      <c r="I261" s="23"/>
      <c r="J261" s="23"/>
      <c r="K261" s="23"/>
      <c r="L261" s="23"/>
      <c r="M261" s="23"/>
      <c r="N261" s="23"/>
      <c r="O261" s="24"/>
      <c r="P261" s="24"/>
      <c r="Q261" s="21"/>
      <c r="R261" s="21"/>
    </row>
    <row r="262" spans="2:18" ht="18.75">
      <c r="B262" s="21"/>
      <c r="C262" s="21"/>
      <c r="D262" s="22"/>
      <c r="E262" s="22"/>
      <c r="F262" s="23"/>
      <c r="G262" s="23"/>
      <c r="H262" s="23"/>
      <c r="I262" s="23"/>
      <c r="J262" s="23"/>
      <c r="K262" s="23"/>
      <c r="L262" s="23"/>
      <c r="M262" s="23"/>
      <c r="N262" s="23"/>
      <c r="O262" s="24"/>
      <c r="P262" s="24"/>
      <c r="Q262" s="21"/>
      <c r="R262" s="21"/>
    </row>
    <row r="263" spans="2:18" ht="18.75" hidden="1">
      <c r="B263" s="21" t="s">
        <v>299</v>
      </c>
      <c r="C263" s="21"/>
      <c r="D263" s="22"/>
      <c r="E263" s="22"/>
      <c r="F263" s="23"/>
      <c r="G263" s="23"/>
      <c r="H263" s="23"/>
      <c r="I263" s="23"/>
      <c r="J263" s="23"/>
      <c r="K263" s="23"/>
      <c r="L263" s="23"/>
      <c r="M263" s="23"/>
      <c r="N263" s="23"/>
      <c r="O263" s="21"/>
      <c r="P263" s="21" t="s">
        <v>300</v>
      </c>
      <c r="Q263" s="3"/>
      <c r="R263" s="21"/>
    </row>
    <row r="264" spans="17:20" ht="12.75">
      <c r="Q264" s="66"/>
      <c r="R264" s="64"/>
      <c r="S264" s="61"/>
      <c r="T264" s="61"/>
    </row>
    <row r="265" spans="17:20" ht="12.75">
      <c r="Q265" s="66"/>
      <c r="R265" s="64"/>
      <c r="S265" s="61"/>
      <c r="T265" s="61"/>
    </row>
    <row r="266" spans="17:20" ht="12.75">
      <c r="Q266" s="66"/>
      <c r="R266" s="64"/>
      <c r="S266" s="61"/>
      <c r="T266" s="61"/>
    </row>
    <row r="267" spans="2:20" ht="23.25" customHeight="1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66"/>
      <c r="R267" s="64"/>
      <c r="S267" s="61"/>
      <c r="T267" s="61"/>
    </row>
    <row r="268" spans="2:20" ht="23.25" customHeight="1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65"/>
      <c r="R268" s="64"/>
      <c r="S268" s="63">
        <f>S264+S267-S266</f>
        <v>0</v>
      </c>
      <c r="T268" s="63">
        <f>T264+T267</f>
        <v>0</v>
      </c>
    </row>
    <row r="269" spans="2:20" ht="29.25" customHeight="1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88">
        <f>S260-S268</f>
        <v>0</v>
      </c>
      <c r="T269" s="88">
        <f>T260-T268</f>
        <v>0</v>
      </c>
    </row>
    <row r="270" spans="2:18" ht="27.75" customHeight="1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67"/>
    </row>
    <row r="271" spans="10:18" ht="12.75">
      <c r="J271" s="29"/>
      <c r="K271" s="29"/>
      <c r="L271" s="29"/>
      <c r="M271" s="29"/>
      <c r="N271" s="29"/>
      <c r="O271" s="29"/>
      <c r="P271" s="29"/>
      <c r="Q271" s="68"/>
      <c r="R271" s="67"/>
    </row>
    <row r="272" spans="10:18" ht="12.75">
      <c r="J272" s="29"/>
      <c r="K272" s="29"/>
      <c r="L272" s="29"/>
      <c r="M272" s="29"/>
      <c r="N272" s="29"/>
      <c r="O272" s="29"/>
      <c r="P272" s="29"/>
      <c r="Q272" s="68"/>
      <c r="R272" s="67"/>
    </row>
    <row r="273" spans="10:18" ht="12.75">
      <c r="J273" s="29"/>
      <c r="K273" s="29"/>
      <c r="L273" s="29"/>
      <c r="M273" s="29"/>
      <c r="N273" s="29"/>
      <c r="O273" s="29"/>
      <c r="P273" s="29"/>
      <c r="Q273" s="68"/>
      <c r="R273" s="67"/>
    </row>
    <row r="274" spans="10:18" ht="12.75">
      <c r="J274" s="29"/>
      <c r="K274" s="29"/>
      <c r="L274" s="29"/>
      <c r="M274" s="29"/>
      <c r="N274" s="29"/>
      <c r="O274" s="29"/>
      <c r="P274" s="29"/>
      <c r="Q274" s="68"/>
      <c r="R274" s="67"/>
    </row>
    <row r="275" spans="10:18" ht="12.75">
      <c r="J275" s="29"/>
      <c r="K275" s="29"/>
      <c r="L275" s="29"/>
      <c r="M275" s="29"/>
      <c r="N275" s="69"/>
      <c r="O275" s="69"/>
      <c r="P275" s="69"/>
      <c r="Q275" s="69"/>
      <c r="R275" s="67"/>
    </row>
    <row r="276" spans="10:18" ht="12.75">
      <c r="J276" s="29"/>
      <c r="K276" s="29"/>
      <c r="L276" s="29"/>
      <c r="M276" s="29"/>
      <c r="N276" s="29"/>
      <c r="O276" s="29"/>
      <c r="P276" s="29"/>
      <c r="Q276" s="68"/>
      <c r="R276" s="67"/>
    </row>
    <row r="277" spans="10:18" ht="12.75">
      <c r="J277" s="29"/>
      <c r="K277" s="29"/>
      <c r="L277" s="29"/>
      <c r="M277" s="29"/>
      <c r="N277" s="69"/>
      <c r="O277" s="69"/>
      <c r="P277" s="69"/>
      <c r="Q277" s="69"/>
      <c r="R277" s="67"/>
    </row>
    <row r="278" spans="10:18" ht="12.75">
      <c r="J278" s="29"/>
      <c r="K278" s="29"/>
      <c r="L278" s="29"/>
      <c r="M278" s="29"/>
      <c r="N278" s="29"/>
      <c r="O278" s="29"/>
      <c r="P278" s="29"/>
      <c r="Q278" s="68"/>
      <c r="R278" s="67"/>
    </row>
    <row r="279" spans="10:18" ht="12.75">
      <c r="J279" s="29"/>
      <c r="K279" s="29"/>
      <c r="L279" s="29"/>
      <c r="M279" s="29"/>
      <c r="N279" s="69"/>
      <c r="O279" s="69"/>
      <c r="P279" s="69"/>
      <c r="Q279" s="69"/>
      <c r="R279" s="67"/>
    </row>
    <row r="280" spans="10:18" ht="12.75">
      <c r="J280" s="29"/>
      <c r="K280" s="29"/>
      <c r="L280" s="29"/>
      <c r="M280" s="29"/>
      <c r="N280" s="29"/>
      <c r="O280" s="29"/>
      <c r="P280" s="29"/>
      <c r="Q280" s="68"/>
      <c r="R280" s="67"/>
    </row>
    <row r="281" spans="10:18" ht="12.75">
      <c r="J281" s="29"/>
      <c r="K281" s="29"/>
      <c r="L281" s="29"/>
      <c r="M281" s="29"/>
      <c r="N281" s="29"/>
      <c r="O281" s="29"/>
      <c r="P281" s="29"/>
      <c r="Q281" s="68"/>
      <c r="R281" s="67"/>
    </row>
    <row r="282" spans="10:18" ht="12.75">
      <c r="J282" s="29"/>
      <c r="K282" s="29"/>
      <c r="L282" s="29"/>
      <c r="M282" s="29"/>
      <c r="N282" s="69"/>
      <c r="O282" s="69"/>
      <c r="P282" s="69"/>
      <c r="Q282" s="69"/>
      <c r="R282" s="67"/>
    </row>
    <row r="283" spans="10:18" ht="12.75">
      <c r="J283" s="29"/>
      <c r="K283" s="29"/>
      <c r="L283" s="29"/>
      <c r="M283" s="29"/>
      <c r="N283" s="29"/>
      <c r="O283" s="29"/>
      <c r="P283" s="29"/>
      <c r="Q283" s="68"/>
      <c r="R283" s="67"/>
    </row>
    <row r="284" spans="10:18" ht="12.75">
      <c r="J284" s="29"/>
      <c r="K284" s="29"/>
      <c r="L284" s="29"/>
      <c r="M284" s="29"/>
      <c r="N284" s="29"/>
      <c r="O284" s="29"/>
      <c r="P284" s="29"/>
      <c r="Q284" s="68"/>
      <c r="R284" s="67"/>
    </row>
    <row r="285" spans="10:18" ht="12.75">
      <c r="J285" s="29"/>
      <c r="K285" s="29"/>
      <c r="L285" s="29"/>
      <c r="M285" s="29"/>
      <c r="N285" s="69"/>
      <c r="O285" s="69"/>
      <c r="P285" s="69"/>
      <c r="Q285" s="69"/>
      <c r="R285" s="67"/>
    </row>
    <row r="286" spans="10:18" ht="12.75">
      <c r="J286" s="29"/>
      <c r="K286" s="29"/>
      <c r="L286" s="29"/>
      <c r="M286" s="29"/>
      <c r="N286" s="29"/>
      <c r="O286" s="29"/>
      <c r="P286" s="29"/>
      <c r="Q286" s="68"/>
      <c r="R286" s="67"/>
    </row>
    <row r="287" spans="10:18" ht="12.75">
      <c r="J287" s="29"/>
      <c r="K287" s="29"/>
      <c r="L287" s="29"/>
      <c r="M287" s="29"/>
      <c r="N287" s="70"/>
      <c r="O287" s="70"/>
      <c r="P287" s="70"/>
      <c r="Q287" s="71"/>
      <c r="R287" s="67"/>
    </row>
    <row r="288" spans="10:18" ht="12.75">
      <c r="J288" s="29"/>
      <c r="K288" s="29"/>
      <c r="L288" s="29"/>
      <c r="M288" s="29"/>
      <c r="N288" s="29"/>
      <c r="O288" s="29"/>
      <c r="P288" s="29"/>
      <c r="Q288" s="68"/>
      <c r="R288" s="67"/>
    </row>
    <row r="289" spans="10:18" ht="12.75">
      <c r="J289" s="29"/>
      <c r="K289" s="29"/>
      <c r="L289" s="29"/>
      <c r="M289" s="29"/>
      <c r="N289" s="29"/>
      <c r="O289" s="29"/>
      <c r="P289" s="29"/>
      <c r="Q289" s="68"/>
      <c r="R289" s="67"/>
    </row>
    <row r="290" spans="10:18" ht="12.75">
      <c r="J290" s="29"/>
      <c r="K290" s="29"/>
      <c r="L290" s="29"/>
      <c r="M290" s="29"/>
      <c r="N290" s="69"/>
      <c r="O290" s="69"/>
      <c r="P290" s="69"/>
      <c r="Q290" s="69"/>
      <c r="R290" s="67"/>
    </row>
    <row r="291" spans="10:18" ht="12.75">
      <c r="J291" s="29"/>
      <c r="K291" s="29"/>
      <c r="L291" s="29"/>
      <c r="M291" s="29"/>
      <c r="N291" s="29"/>
      <c r="O291" s="29"/>
      <c r="P291" s="29"/>
      <c r="Q291" s="68"/>
      <c r="R291" s="67"/>
    </row>
    <row r="292" spans="10:18" ht="12.75">
      <c r="J292" s="29"/>
      <c r="K292" s="29"/>
      <c r="L292" s="29"/>
      <c r="M292" s="29"/>
      <c r="N292" s="69"/>
      <c r="O292" s="69"/>
      <c r="P292" s="69"/>
      <c r="Q292" s="69"/>
      <c r="R292" s="67"/>
    </row>
    <row r="293" spans="10:18" ht="12.75">
      <c r="J293" s="29"/>
      <c r="K293" s="29"/>
      <c r="L293" s="29"/>
      <c r="M293" s="29"/>
      <c r="N293" s="29"/>
      <c r="O293" s="29"/>
      <c r="P293" s="29"/>
      <c r="Q293" s="68"/>
      <c r="R293" s="67"/>
    </row>
    <row r="294" spans="10:18" ht="12.75">
      <c r="J294" s="29"/>
      <c r="K294" s="29"/>
      <c r="L294" s="29"/>
      <c r="M294" s="29"/>
      <c r="N294" s="72"/>
      <c r="O294" s="73"/>
      <c r="P294" s="74"/>
      <c r="Q294" s="74"/>
      <c r="R294" s="67"/>
    </row>
    <row r="295" spans="10:18" ht="12.75">
      <c r="J295" s="29"/>
      <c r="K295" s="29"/>
      <c r="L295" s="29"/>
      <c r="M295" s="29"/>
      <c r="N295" s="29"/>
      <c r="O295" s="29"/>
      <c r="P295" s="29"/>
      <c r="Q295" s="68"/>
      <c r="R295" s="67"/>
    </row>
    <row r="296" spans="10:18" ht="12.75">
      <c r="J296" s="29"/>
      <c r="K296" s="29"/>
      <c r="L296" s="29"/>
      <c r="M296" s="29"/>
      <c r="N296" s="29"/>
      <c r="O296" s="29"/>
      <c r="P296" s="29"/>
      <c r="Q296" s="68"/>
      <c r="R296" s="67"/>
    </row>
    <row r="297" spans="10:18" ht="12.75">
      <c r="J297" s="29"/>
      <c r="K297" s="29"/>
      <c r="L297" s="29"/>
      <c r="M297" s="29"/>
      <c r="N297" s="29"/>
      <c r="O297" s="29"/>
      <c r="P297" s="29"/>
      <c r="Q297" s="68"/>
      <c r="R297" s="67"/>
    </row>
    <row r="298" spans="2:18" ht="12.75">
      <c r="B298" s="9" t="s">
        <v>78</v>
      </c>
      <c r="F298" s="59"/>
      <c r="G298" s="60"/>
      <c r="H298" s="60"/>
      <c r="I298" s="60"/>
      <c r="J298" s="75"/>
      <c r="K298" s="75"/>
      <c r="L298" s="75"/>
      <c r="M298" s="75"/>
      <c r="N298" s="75"/>
      <c r="O298" s="75"/>
      <c r="P298" s="75"/>
      <c r="Q298" s="76"/>
      <c r="R298" s="67"/>
    </row>
    <row r="299" spans="10:18" ht="12.75">
      <c r="J299" s="29"/>
      <c r="K299" s="29"/>
      <c r="L299" s="29"/>
      <c r="M299" s="29"/>
      <c r="N299" s="29"/>
      <c r="O299" s="29"/>
      <c r="P299" s="29"/>
      <c r="Q299" s="68"/>
      <c r="R299" s="67"/>
    </row>
    <row r="300" spans="2:18" ht="12.75">
      <c r="B300" s="9" t="s">
        <v>135</v>
      </c>
      <c r="F300" s="59"/>
      <c r="G300" s="59"/>
      <c r="H300" s="59"/>
      <c r="I300" s="59"/>
      <c r="J300" s="76"/>
      <c r="K300" s="76"/>
      <c r="L300" s="76"/>
      <c r="M300" s="76"/>
      <c r="N300" s="76"/>
      <c r="O300" s="76"/>
      <c r="P300" s="76"/>
      <c r="Q300" s="76"/>
      <c r="R300" s="67"/>
    </row>
    <row r="301" spans="6:18" ht="12.75">
      <c r="F301" s="59"/>
      <c r="G301" s="59"/>
      <c r="H301" s="59"/>
      <c r="I301" s="59"/>
      <c r="J301" s="76"/>
      <c r="K301" s="76"/>
      <c r="L301" s="76"/>
      <c r="M301" s="76"/>
      <c r="N301" s="76"/>
      <c r="O301" s="76"/>
      <c r="P301" s="76"/>
      <c r="Q301" s="76"/>
      <c r="R301" s="67"/>
    </row>
    <row r="302" spans="10:18" ht="12.75">
      <c r="J302" s="29"/>
      <c r="K302" s="29"/>
      <c r="L302" s="29"/>
      <c r="M302" s="29"/>
      <c r="N302" s="29"/>
      <c r="O302" s="29"/>
      <c r="P302" s="29"/>
      <c r="Q302" s="68"/>
      <c r="R302" s="67"/>
    </row>
    <row r="303" spans="10:18" ht="12.75">
      <c r="J303" s="29"/>
      <c r="K303" s="29"/>
      <c r="L303" s="29"/>
      <c r="M303" s="29"/>
      <c r="N303" s="29"/>
      <c r="O303" s="29"/>
      <c r="P303" s="29"/>
      <c r="Q303" s="68"/>
      <c r="R303" s="67"/>
    </row>
    <row r="304" spans="10:18" ht="12.75">
      <c r="J304" s="29"/>
      <c r="K304" s="29"/>
      <c r="L304" s="29"/>
      <c r="M304" s="29"/>
      <c r="N304" s="29"/>
      <c r="O304" s="29"/>
      <c r="P304" s="29"/>
      <c r="Q304" s="68"/>
      <c r="R304" s="67"/>
    </row>
    <row r="305" spans="10:18" ht="12.75">
      <c r="J305" s="29"/>
      <c r="K305" s="29"/>
      <c r="L305" s="29"/>
      <c r="M305" s="29"/>
      <c r="N305" s="29"/>
      <c r="O305" s="29"/>
      <c r="P305" s="29"/>
      <c r="Q305" s="68"/>
      <c r="R305" s="67"/>
    </row>
    <row r="306" spans="10:18" ht="12.75">
      <c r="J306" s="29"/>
      <c r="K306" s="29"/>
      <c r="L306" s="29"/>
      <c r="M306" s="29"/>
      <c r="N306" s="29"/>
      <c r="O306" s="29"/>
      <c r="P306" s="29"/>
      <c r="Q306" s="68"/>
      <c r="R306" s="67"/>
    </row>
    <row r="307" spans="10:18" ht="12.75">
      <c r="J307" s="29"/>
      <c r="K307" s="29"/>
      <c r="L307" s="29"/>
      <c r="M307" s="29"/>
      <c r="N307" s="29"/>
      <c r="O307" s="29"/>
      <c r="P307" s="29"/>
      <c r="Q307" s="68"/>
      <c r="R307" s="67"/>
    </row>
  </sheetData>
  <sheetProtection/>
  <mergeCells count="112">
    <mergeCell ref="B164:E164"/>
    <mergeCell ref="B230:E230"/>
    <mergeCell ref="C72:E72"/>
    <mergeCell ref="D162:E162"/>
    <mergeCell ref="C187:E187"/>
    <mergeCell ref="C127:E127"/>
    <mergeCell ref="C128:E128"/>
    <mergeCell ref="D155:E155"/>
    <mergeCell ref="C132:E132"/>
    <mergeCell ref="C133:E133"/>
    <mergeCell ref="D130:E130"/>
    <mergeCell ref="D137:E137"/>
    <mergeCell ref="D112:E112"/>
    <mergeCell ref="D107:E107"/>
    <mergeCell ref="D110:E110"/>
    <mergeCell ref="D129:E129"/>
    <mergeCell ref="C179:E179"/>
    <mergeCell ref="D180:E180"/>
    <mergeCell ref="D211:E211"/>
    <mergeCell ref="C186:E186"/>
    <mergeCell ref="D188:E188"/>
    <mergeCell ref="D198:E198"/>
    <mergeCell ref="C205:E205"/>
    <mergeCell ref="C210:E210"/>
    <mergeCell ref="C209:E209"/>
    <mergeCell ref="C169:E169"/>
    <mergeCell ref="D170:E170"/>
    <mergeCell ref="D173:E173"/>
    <mergeCell ref="C178:E178"/>
    <mergeCell ref="C168:E168"/>
    <mergeCell ref="D73:E73"/>
    <mergeCell ref="D101:E101"/>
    <mergeCell ref="C147:E147"/>
    <mergeCell ref="C154:E154"/>
    <mergeCell ref="C148:E148"/>
    <mergeCell ref="D149:E149"/>
    <mergeCell ref="C153:E153"/>
    <mergeCell ref="D125:E125"/>
    <mergeCell ref="D117:E117"/>
    <mergeCell ref="D51:E51"/>
    <mergeCell ref="D52:E52"/>
    <mergeCell ref="D55:E55"/>
    <mergeCell ref="D65:E65"/>
    <mergeCell ref="D62:E62"/>
    <mergeCell ref="D58:E58"/>
    <mergeCell ref="B218:E218"/>
    <mergeCell ref="B227:E227"/>
    <mergeCell ref="B228:E228"/>
    <mergeCell ref="B229:E229"/>
    <mergeCell ref="D5:D8"/>
    <mergeCell ref="E5:E8"/>
    <mergeCell ref="C5:C8"/>
    <mergeCell ref="C10:E10"/>
    <mergeCell ref="C9:E9"/>
    <mergeCell ref="D11:E11"/>
    <mergeCell ref="K6:K8"/>
    <mergeCell ref="F5:J5"/>
    <mergeCell ref="K5:P5"/>
    <mergeCell ref="P7:P8"/>
    <mergeCell ref="G6:G8"/>
    <mergeCell ref="H6:I6"/>
    <mergeCell ref="M6:N6"/>
    <mergeCell ref="O6:O8"/>
    <mergeCell ref="J6:J8"/>
    <mergeCell ref="M7:M8"/>
    <mergeCell ref="N1:Q1"/>
    <mergeCell ref="N7:N8"/>
    <mergeCell ref="B3:Q3"/>
    <mergeCell ref="N2:Q2"/>
    <mergeCell ref="Q5:Q8"/>
    <mergeCell ref="L6:L8"/>
    <mergeCell ref="B5:B8"/>
    <mergeCell ref="F6:F8"/>
    <mergeCell ref="H7:H8"/>
    <mergeCell ref="I7:I8"/>
    <mergeCell ref="D216:E216"/>
    <mergeCell ref="C49:E49"/>
    <mergeCell ref="D47:E47"/>
    <mergeCell ref="D67:E67"/>
    <mergeCell ref="D18:E18"/>
    <mergeCell ref="D45:E45"/>
    <mergeCell ref="C29:E29"/>
    <mergeCell ref="C30:E30"/>
    <mergeCell ref="D31:E31"/>
    <mergeCell ref="C50:E50"/>
    <mergeCell ref="B239:E239"/>
    <mergeCell ref="C71:E71"/>
    <mergeCell ref="C16:E16"/>
    <mergeCell ref="C17:E17"/>
    <mergeCell ref="B233:E233"/>
    <mergeCell ref="C214:E214"/>
    <mergeCell ref="C215:E215"/>
    <mergeCell ref="C104:E104"/>
    <mergeCell ref="C105:E105"/>
    <mergeCell ref="D106:E106"/>
    <mergeCell ref="P258:Q258"/>
    <mergeCell ref="B249:E249"/>
    <mergeCell ref="B245:E245"/>
    <mergeCell ref="B246:E246"/>
    <mergeCell ref="B247:E247"/>
    <mergeCell ref="B234:E234"/>
    <mergeCell ref="B235:E235"/>
    <mergeCell ref="B236:E236"/>
    <mergeCell ref="B237:E237"/>
    <mergeCell ref="B238:E238"/>
    <mergeCell ref="B248:E248"/>
    <mergeCell ref="B256:E256"/>
    <mergeCell ref="B240:E240"/>
    <mergeCell ref="B241:E241"/>
    <mergeCell ref="B242:E242"/>
    <mergeCell ref="B243:E243"/>
    <mergeCell ref="B244:E244"/>
  </mergeCells>
  <printOptions horizontalCentered="1"/>
  <pageMargins left="0.2" right="0.2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2017-04-24T09:07:37Z</cp:lastPrinted>
  <dcterms:created xsi:type="dcterms:W3CDTF">2014-01-17T10:52:16Z</dcterms:created>
  <dcterms:modified xsi:type="dcterms:W3CDTF">2017-04-28T12:44:48Z</dcterms:modified>
  <cp:category/>
  <cp:version/>
  <cp:contentType/>
  <cp:contentStatus/>
</cp:coreProperties>
</file>